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tabRatio="904" activeTab="2"/>
  </bookViews>
  <sheets>
    <sheet name="A1清单报价表封面" sheetId="42" r:id="rId1"/>
    <sheet name="B1 清单报价总说明" sheetId="2" r:id="rId2"/>
    <sheet name="C1 工程项目预算总价表 (2)" sheetId="43" r:id="rId3"/>
    <sheet name="D1-1 分部分项工程量清单计价表【集约人工林栽培‖ZL型】" sheetId="7" r:id="rId4"/>
    <sheet name="D3-3 分部分项工程量清单综合单价计算表(分页不带材料)~1" sheetId="8" r:id="rId5"/>
    <sheet name="D3-4 分部分项工程量清单综合单价计算表(分页带材料)ZL型" sheetId="9" r:id="rId6"/>
    <sheet name="E.1分部分项工程总价措施项目清单计价表-ZL型" sheetId="20" r:id="rId7"/>
    <sheet name="F.1其他项目清单与计价汇总表(ZL型）" sheetId="36" r:id="rId8"/>
    <sheet name="F1.1暂列金额明细表（ZL型）" sheetId="37" r:id="rId9"/>
    <sheet name="G.1规费、税金项目清单计价表-ZL型" sheetId="21" r:id="rId10"/>
    <sheet name="H1 主要材料价格表【集约人工林栽培‖ZL型】" sheetId="10" r:id="rId11"/>
    <sheet name="D1-1 分部分项工程量清单计价表【中幼龄林抚育‖FY】" sheetId="11" r:id="rId12"/>
    <sheet name="D3-3 分部分项工程量清单综合单价计算表(分页不带材料)~2" sheetId="12" r:id="rId13"/>
    <sheet name="D3-4 分部分项工程量清单综合单价计算表(分页带材料)【中~" sheetId="13" r:id="rId14"/>
    <sheet name="E.1分部分项工程总价措施项目清单计价表-FY型" sheetId="22" r:id="rId15"/>
    <sheet name="F.1其他项目清单与计价汇总表(FY型）" sheetId="38" r:id="rId16"/>
    <sheet name="F1.1暂列金额明细表（FY型）" sheetId="39" r:id="rId17"/>
    <sheet name="G.1规费、税金项目清单计价表-FY型" sheetId="23" r:id="rId18"/>
    <sheet name="H1 主要材料价格表【中幼龄林抚育‖FY】" sheetId="14" r:id="rId19"/>
    <sheet name="D1-1 分部分项工程量清单计价表【现有林改培‖GP】" sheetId="15" r:id="rId20"/>
    <sheet name="D3-3 分部分项工程量清单综合单价计算表(分页不带材料)~3" sheetId="16" r:id="rId21"/>
    <sheet name="D3-4 分部分项工程量清单综合单价计算表(分页带材料)【现~" sheetId="17" r:id="rId22"/>
    <sheet name="E.1分部分项工程总价措施项目清单计价表-GP型" sheetId="24" r:id="rId23"/>
    <sheet name="F.1其他项目清单与计价汇总表(GP型）" sheetId="40" r:id="rId24"/>
    <sheet name="F1.1暂列金额明细表（GP型）" sheetId="41" r:id="rId25"/>
    <sheet name="G.1规费、税金项目清单计价表-GP型" sheetId="25" r:id="rId26"/>
    <sheet name="H1 主要材料价格表【现有林改培‖GP】" sheetId="18" r:id="rId27"/>
  </sheets>
  <externalReferences>
    <externalReference r:id="rId28"/>
  </externalReferences>
  <definedNames>
    <definedName name="_xlnm.Print_Area" localSheetId="3">'D1-1 分部分项工程量清单计价表【集约人工林栽培‖ZL型】'!$A$1:$Q$29</definedName>
    <definedName name="_xlnm.Print_Area" localSheetId="4">'D3-3 分部分项工程量清单综合单价计算表(分页不带材料)~1'!$A$1:$K$57</definedName>
    <definedName name="_xlnm.Print_Area" localSheetId="12">'D3-3 分部分项工程量清单综合单价计算表(分页不带材料)~2'!$A$1:$K$60</definedName>
    <definedName name="_xlnm.Print_Area" localSheetId="20">'D3-3 分部分项工程量清单综合单价计算表(分页不带材料)~3'!$A$1:$K$89</definedName>
    <definedName name="_xlnm.Print_Area" localSheetId="21">'D3-4 分部分项工程量清单综合单价计算表(分页带材料)【现~'!$A$1:$K$270</definedName>
    <definedName name="_xlnm.Print_Area" localSheetId="13">'D3-4 分部分项工程量清单综合单价计算表(分页带材料)【中~'!$A$1:$K$72</definedName>
    <definedName name="_xlnm.Print_Area" localSheetId="5">'D3-4 分部分项工程量清单综合单价计算表(分页带材料)ZL型'!$A$1:$K$141</definedName>
    <definedName name="_xlnm.Print_Area" localSheetId="14">'E.1分部分项工程总价措施项目清单计价表-FY型'!$A$1:$M$59</definedName>
    <definedName name="_xlnm.Print_Area" localSheetId="6">'E.1分部分项工程总价措施项目清单计价表-ZL型'!$A$1:$M$59</definedName>
    <definedName name="_xlnm.Print_Area" localSheetId="7">'F.1其他项目清单与计价汇总表(ZL型）'!$A$1:$F$24</definedName>
    <definedName name="_xlnm.Print_Area" localSheetId="16">'F1.1暂列金额明细表（FY型）'!$A$1:$E$86</definedName>
    <definedName name="_xlnm.Print_Area" localSheetId="24">'F1.1暂列金额明细表（GP型）'!$A$1:$E$144</definedName>
    <definedName name="_xlnm.Print_Area" localSheetId="8">'F1.1暂列金额明细表（ZL型）'!$A$1:$E$86</definedName>
    <definedName name="_xlnm.Print_Area" localSheetId="25">'G.1规费、税金项目清单计价表-GP型'!$A$1:$F$59</definedName>
    <definedName name="_xlnm.Print_Area" localSheetId="9">'G.1规费、税金项目清单计价表-ZL型'!$A$1:$F$35</definedName>
    <definedName name="_xlnm.Print_Area" localSheetId="2">'C1 工程项目预算总价表 (2)'!$A$1:$M$10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<sst xmlns="http://schemas.openxmlformats.org/spreadsheetml/2006/main" count="9503" uniqueCount="662">
  <si>
    <t/>
  </si>
  <si>
    <t>遂宁市安居区国家储备林项目（一期）海龙村建设项目（营造林建设）</t>
  </si>
  <si>
    <t>工程</t>
  </si>
  <si>
    <t>砍伐劳务招标控制价</t>
  </si>
  <si>
    <t>招标控制价(小写):</t>
  </si>
  <si>
    <t>(大写):</t>
  </si>
  <si>
    <t>伍佰叁拾伍万陆仟伍佰肆拾元伍角肆分</t>
  </si>
  <si>
    <t>招　标　人:</t>
  </si>
  <si>
    <t xml:space="preserve"> </t>
  </si>
  <si>
    <t>造价咨询人:</t>
  </si>
  <si>
    <t>(单位盖章)</t>
  </si>
  <si>
    <t>法定代表人 
或其授权人:</t>
  </si>
  <si>
    <t xml:space="preserve">       </t>
  </si>
  <si>
    <t>(签字或盖章)</t>
  </si>
  <si>
    <t>编　制　人:</t>
  </si>
  <si>
    <t>复　核　人:</t>
  </si>
  <si>
    <t>(造价人员签字盖专用章)</t>
  </si>
  <si>
    <t>(一级造价工程师签字盖专用章)</t>
  </si>
  <si>
    <t xml:space="preserve">     编 制 时 间:</t>
  </si>
  <si>
    <t>复 核 时 间:</t>
  </si>
  <si>
    <t xml:space="preserve">扉-1 </t>
  </si>
  <si>
    <t>预算总说明</t>
  </si>
  <si>
    <t>工程名称：</t>
  </si>
  <si>
    <r>
      <rPr>
        <sz val="10"/>
        <color theme="1"/>
        <rFont val="宋体"/>
        <charset val="134"/>
      </rPr>
      <t xml:space="preserve">
一、工程概况：
工程名称：遂宁市安居区国家储备林项目（一期）海龙村建设项目（营造林建设）
建设单位：遂宁耀欣建筑工程有限公司
建设地点：遂宁市安居区国家储备林建设项目（一期）海龙片区营造林项目位于常理镇、横山镇等2个乡镇。
工程规模：营造林工程总面积5015.91亩，其中：集约人工林栽培76.66亩，森林抚育1165.55亩，现有林改培3773.70亩。
二、编制依据： 
1、本项目作业设计说明及图纸。
2、中华人民共和国《建设工程工程量清单计价规范（GB50500-2013）》。
3、四川省2020年《四川省建设工程工程量清单计价定额》等以下相关配套文件。
4、《四川省营造林投资标准（试行）》（2023.6.25；川林发〔2023〕28号）。 
5、材料价格：四川省《工程造价信息》遂宁市</t>
    </r>
    <r>
      <rPr>
        <sz val="10"/>
        <color rgb="FFFF0000"/>
        <rFont val="宋体"/>
        <charset val="134"/>
      </rPr>
      <t>2024年第6期</t>
    </r>
    <r>
      <rPr>
        <sz val="10"/>
        <color theme="1"/>
        <rFont val="宋体"/>
        <charset val="134"/>
      </rPr>
      <t>及同期市场价格综合考虑等。
三、其他说明：
1、本预算的定额人工费调整是按</t>
    </r>
    <r>
      <rPr>
        <sz val="10"/>
        <color rgb="FFFF0000"/>
        <rFont val="宋体"/>
        <charset val="134"/>
      </rPr>
      <t>川建价发〔2024〕14号文</t>
    </r>
    <r>
      <rPr>
        <sz val="10"/>
        <color theme="1"/>
        <rFont val="宋体"/>
        <charset val="134"/>
      </rPr>
      <t xml:space="preserve">进行调整。
2、规费按四川省住房和城乡建设厅、四川省财政厅关于印发《四川省施工企业工程规费计取标准》的通知“川建发[2014]17号”的规定计取。
3、根据川建发[2019]181号文《四川省住房和城乡建设厅关于印发&lt;建筑企业营业税改增值税四川省建设工程计价依据调整办法&gt;的通知》，税金按9%计算。
4、根据四川省2020年《四川省建设工程工程量清单计价定额》，附加税按0.157%计算。
5、工程量参考设计提供的主要材料表。
6、其他未尽事宜按相关法律、法规文件等处理。
四、工程费用预算主要技术经济指标
本概算工程费用综合单价包括人工费、材料费、机械费。工程管理费和利润、安全文明施工费、规费、税费及设备费等措施费及规费、税费，均包含在工程费用中。其中： 
人工费：根据川建价发〔2024〕14号文规定，普工128元/工日，技工按232元/工日计算。 
定额使用：清林、整地、栽植、间伐、补植、幼林抚育、施肥及肥料、病虫害防治、管护等定额，参照《四川省营造林投资标准（试行）》（2023.6.25；川林发〔2023〕28号）相关定额。 
五、所有单价均应按招标文件执行相应下浮比。
</t>
    </r>
  </si>
  <si>
    <t xml:space="preserve">五、工程质量、施工等的特殊要求： 
1、本工程质量要求必须符合国家现行《工程施工质量验收规范》合格标准。 
2、本工程施工要求：工程施工必须按经批准的施工组织设计实施,并要符合施工规范及验收标准的相关要求。  
</t>
  </si>
  <si>
    <t>六、金额（价格）均以人民币表示。
金额（价格）：均以人民币表示。</t>
  </si>
  <si>
    <t>工程项目劳务招标控制价</t>
  </si>
  <si>
    <t>第1页共1页</t>
  </si>
  <si>
    <t>序号</t>
  </si>
  <si>
    <t xml:space="preserve">单项工程名称 </t>
  </si>
  <si>
    <t>工程规模(亩）</t>
  </si>
  <si>
    <t>劳务直接费用（元）</t>
  </si>
  <si>
    <t>措施费
其它
（元）</t>
  </si>
  <si>
    <t>不可竞争费用（元）</t>
  </si>
  <si>
    <t>劳务分包人材机指标（元）</t>
  </si>
  <si>
    <t>备注</t>
  </si>
  <si>
    <t>劳务分包人工费（元）</t>
  </si>
  <si>
    <t>劳务分包材料（元）</t>
  </si>
  <si>
    <t>劳务分包机械费（元）</t>
  </si>
  <si>
    <t>劳务分包管理费（元）</t>
  </si>
  <si>
    <t>劳务分包利润（元）</t>
  </si>
  <si>
    <t>直接费用合计
（元）</t>
  </si>
  <si>
    <t>直接费下浮15%后
（元）</t>
  </si>
  <si>
    <t>规费（4.8%）</t>
  </si>
  <si>
    <t>安全文明施工费</t>
  </si>
  <si>
    <t>税金（3%）</t>
  </si>
  <si>
    <t>小计（元）</t>
  </si>
  <si>
    <t>单位造价（元/亩）</t>
  </si>
  <si>
    <t>集约人工林栽培</t>
  </si>
  <si>
    <t>森林抚育</t>
  </si>
  <si>
    <t>现有林改培</t>
  </si>
  <si>
    <t>合计（元）</t>
  </si>
  <si>
    <t>说明：
1、本次劳务招标范围：遂宁市安居区国家储备林项目（一期）海龙村建设项目（营造林建设）-清林、间伐、修枝割灌；
2、规费按固定金额计取；
3、安全文明施工费按固定金额计取；（包含但不限于工人的安全防护用品、安全文明施工警示标志牌、垃圾清运、施工现场材料存放设施、安全检测费、临时设施、洞口和临边防护设施、消防设施与消防器材、安全教育培训费用、其他安全防护措施费用、修建便道、现场安全管理人员、电气保护、安全照明设施等）
4、税金按简易计税3%计取。
5、本次招标综合单价为下浮后综合单价，如本项目实施过程中有工程量增减或新增，参照此计算规则计算。</t>
  </si>
  <si>
    <t>分部分项工程量清单计价表</t>
  </si>
  <si>
    <t>工程名称：遂宁市安居区国家储备林项目（一期）海龙村建设项目（营造林建设）\集约人工林栽培【ZL型】</t>
  </si>
  <si>
    <t>项目编码</t>
  </si>
  <si>
    <t>项目名称</t>
  </si>
  <si>
    <t>单位</t>
  </si>
  <si>
    <t>工程数量</t>
  </si>
  <si>
    <t>金额（元）</t>
  </si>
  <si>
    <t>综合单价</t>
  </si>
  <si>
    <t>合价</t>
  </si>
  <si>
    <t>计</t>
  </si>
  <si>
    <t>人工费</t>
  </si>
  <si>
    <t>材料费</t>
  </si>
  <si>
    <t>机械费</t>
  </si>
  <si>
    <t>管理费</t>
  </si>
  <si>
    <t>利润</t>
  </si>
  <si>
    <t>1</t>
  </si>
  <si>
    <t>ZL01001</t>
  </si>
  <si>
    <t>亩</t>
  </si>
  <si>
    <t>2</t>
  </si>
  <si>
    <t>ZL01002</t>
  </si>
  <si>
    <t>3</t>
  </si>
  <si>
    <t>ZL02001</t>
  </si>
  <si>
    <t>本页小计</t>
  </si>
  <si>
    <t>合　　计</t>
  </si>
  <si>
    <t xml:space="preserve">分部分项工程量清单综合单价计算表</t>
  </si>
  <si>
    <t>第1页共3页</t>
  </si>
  <si>
    <t xml:space="preserve">           </t>
  </si>
  <si>
    <t xml:space="preserve">遂宁市安居区国家储备林项目（一期）海龙村建设项目（营造林建设）【ZL型】      </t>
  </si>
  <si>
    <t xml:space="preserve">计量单位：亩 </t>
  </si>
  <si>
    <t xml:space="preserve">项目编号： </t>
  </si>
  <si>
    <t xml:space="preserve">ZL01001      </t>
  </si>
  <si>
    <t xml:space="preserve">项目名称： </t>
  </si>
  <si>
    <t xml:space="preserve">集约造林模型ZL01-1      </t>
  </si>
  <si>
    <t>定额编号</t>
  </si>
  <si>
    <t>工程内容</t>
  </si>
  <si>
    <t>数量</t>
  </si>
  <si>
    <t xml:space="preserve">其中：（元）     </t>
  </si>
  <si>
    <t>小计</t>
  </si>
  <si>
    <t>清林</t>
  </si>
  <si>
    <t>整地</t>
  </si>
  <si>
    <t>施基肥</t>
  </si>
  <si>
    <t>4</t>
  </si>
  <si>
    <t>辅助措施</t>
  </si>
  <si>
    <t>5</t>
  </si>
  <si>
    <t>造林（含补植、浇定根水用工）</t>
  </si>
  <si>
    <t>6</t>
  </si>
  <si>
    <t>追肥</t>
  </si>
  <si>
    <t>7</t>
  </si>
  <si>
    <t>病虫害防治</t>
  </si>
  <si>
    <t>8</t>
  </si>
  <si>
    <t>抚育（含抚育浇水用工）</t>
  </si>
  <si>
    <t>9</t>
  </si>
  <si>
    <t>管护</t>
  </si>
  <si>
    <t>合计</t>
  </si>
  <si>
    <t>第2页共3页</t>
  </si>
  <si>
    <t xml:space="preserve">工程名称： </t>
  </si>
  <si>
    <t xml:space="preserve">ZL01002     </t>
  </si>
  <si>
    <t xml:space="preserve">集约造林模型ZL01-2      </t>
  </si>
  <si>
    <t>ZL01-2-QL</t>
  </si>
  <si>
    <t>ZL01-2-ZD</t>
  </si>
  <si>
    <t>ZL01-2-SJF</t>
  </si>
  <si>
    <t>ZL01-2-FZCS</t>
  </si>
  <si>
    <t>ZL01-2-ZL</t>
  </si>
  <si>
    <t>ZL01-2-ZF</t>
  </si>
  <si>
    <t>ZL01-2-BCHFZ</t>
  </si>
  <si>
    <t>ZL01-2-FY</t>
  </si>
  <si>
    <t>ZL01-2-GH</t>
  </si>
  <si>
    <t>第3页共3页</t>
  </si>
  <si>
    <t xml:space="preserve">ZL02001     </t>
  </si>
  <si>
    <t xml:space="preserve">集约造林模型ZL02-1     </t>
  </si>
  <si>
    <t>ZL02-1-QL</t>
  </si>
  <si>
    <t>ZL02-1-ZD</t>
  </si>
  <si>
    <t>ZL02-1-SJF</t>
  </si>
  <si>
    <t>ZL02-1-FZCS</t>
  </si>
  <si>
    <t>ZL02-1-ZL</t>
  </si>
  <si>
    <t>ZL02-1-ZF</t>
  </si>
  <si>
    <t>ZL02-1-BCHFZ</t>
  </si>
  <si>
    <t>ZL02-1-FY</t>
  </si>
  <si>
    <t>ZL02-1-GH</t>
  </si>
  <si>
    <t>第1页共6页</t>
  </si>
  <si>
    <r>
      <rPr>
        <sz val="9"/>
        <color indexed="0"/>
        <rFont val="宋体"/>
        <charset val="134"/>
      </rPr>
      <t>ZL0100</t>
    </r>
    <r>
      <rPr>
        <sz val="9"/>
        <color indexed="0"/>
        <rFont val="宋体"/>
        <charset val="134"/>
      </rPr>
      <t>1</t>
    </r>
    <r>
      <rPr>
        <sz val="9"/>
        <color indexed="0"/>
        <rFont val="宋体"/>
        <charset val="134"/>
      </rPr>
      <t xml:space="preserve">      </t>
    </r>
  </si>
  <si>
    <r>
      <rPr>
        <sz val="9"/>
        <color indexed="0"/>
        <rFont val="宋体"/>
        <charset val="134"/>
      </rPr>
      <t>集约造林模型ZL01-</t>
    </r>
    <r>
      <rPr>
        <sz val="9"/>
        <color indexed="0"/>
        <rFont val="宋体"/>
        <charset val="134"/>
      </rPr>
      <t>1</t>
    </r>
    <r>
      <rPr>
        <sz val="9"/>
        <color indexed="0"/>
        <rFont val="宋体"/>
        <charset val="134"/>
      </rPr>
      <t xml:space="preserve">     </t>
    </r>
  </si>
  <si>
    <t>ZL01-1-QL</t>
  </si>
  <si>
    <t>清林用工</t>
  </si>
  <si>
    <t>工日</t>
  </si>
  <si>
    <t>ZL01-1-ZD</t>
  </si>
  <si>
    <t>整地用工</t>
  </si>
  <si>
    <t>ZL01-1-SJF</t>
  </si>
  <si>
    <t>农家肥、有机肥费用</t>
  </si>
  <si>
    <t>kg</t>
  </si>
  <si>
    <t>基肥用量</t>
  </si>
  <si>
    <t>基肥用工量</t>
  </si>
  <si>
    <t>ZL01-1-FZCS</t>
  </si>
  <si>
    <t>11</t>
  </si>
  <si>
    <t>支撑架</t>
  </si>
  <si>
    <t>根</t>
  </si>
  <si>
    <t>12</t>
  </si>
  <si>
    <t>ZL01-1-ZL</t>
  </si>
  <si>
    <t>造林</t>
  </si>
  <si>
    <t>13</t>
  </si>
  <si>
    <t>用工定额（含补植、浇定根水用工）</t>
  </si>
  <si>
    <t>14</t>
  </si>
  <si>
    <t>乔木种苗数量（含10%补植率）</t>
  </si>
  <si>
    <t>株</t>
  </si>
  <si>
    <t>15</t>
  </si>
  <si>
    <r>
      <rPr>
        <sz val="9"/>
        <color indexed="0"/>
        <rFont val="宋体"/>
        <charset val="134"/>
      </rPr>
      <t>ZL01-</t>
    </r>
    <r>
      <rPr>
        <sz val="9"/>
        <color indexed="0"/>
        <rFont val="宋体"/>
        <charset val="134"/>
      </rPr>
      <t>1</t>
    </r>
    <r>
      <rPr>
        <sz val="9"/>
        <color indexed="0"/>
        <rFont val="宋体"/>
        <charset val="134"/>
      </rPr>
      <t>乔木苗木单价（含运输及二次搬运）</t>
    </r>
  </si>
  <si>
    <t>第2页共6页</t>
  </si>
  <si>
    <t>灌木种苗数量（含10%补植率）</t>
  </si>
  <si>
    <t>灌木苗木单价（含运输及二次搬运）</t>
  </si>
  <si>
    <t>ZL01-1-ZF</t>
  </si>
  <si>
    <t>复合肥费用</t>
  </si>
  <si>
    <t>追肥用量</t>
  </si>
  <si>
    <t>追肥次数</t>
  </si>
  <si>
    <t>次</t>
  </si>
  <si>
    <t>追肥用工量</t>
  </si>
  <si>
    <t>农药用量</t>
  </si>
  <si>
    <t>农药费用</t>
  </si>
  <si>
    <t>防治次数</t>
  </si>
  <si>
    <t>施药用工量</t>
  </si>
  <si>
    <t>抚育</t>
  </si>
  <si>
    <t>抚育次数</t>
  </si>
  <si>
    <t>抚育用工量(含抚育浇水用工）</t>
  </si>
  <si>
    <t>管护年限</t>
  </si>
  <si>
    <t>年</t>
  </si>
  <si>
    <t>管护定额</t>
  </si>
  <si>
    <t>亩/人.年</t>
  </si>
  <si>
    <t>一年管护费</t>
  </si>
  <si>
    <t>元/亩.年</t>
  </si>
  <si>
    <t>管护用工量（兼职）</t>
  </si>
  <si>
    <t>第3页共6页</t>
  </si>
  <si>
    <t xml:space="preserve">ZL01002      </t>
  </si>
  <si>
    <t xml:space="preserve">集约造林模型ZL01-2     </t>
  </si>
  <si>
    <t>ZL01-2乔木苗木单价（含运输及二次搬运）</t>
  </si>
  <si>
    <t>第4页共6页</t>
  </si>
  <si>
    <t>第5页共6页</t>
  </si>
  <si>
    <t xml:space="preserve">ZL02001      </t>
  </si>
  <si>
    <t>ZL02-1乔木苗木单价（含运输及二次搬运）</t>
  </si>
  <si>
    <t>第6页共6页</t>
  </si>
  <si>
    <t>分部分项总价措施项目清单计价表</t>
  </si>
  <si>
    <t>第1页  共3页</t>
  </si>
  <si>
    <t>序 号</t>
  </si>
  <si>
    <t>计算基础</t>
  </si>
  <si>
    <t>计算基数</t>
  </si>
  <si>
    <t>费率
（%）</t>
  </si>
  <si>
    <t>金额
（元）</t>
  </si>
  <si>
    <t>调整费率
(%)</t>
  </si>
  <si>
    <t>调整后
金额(元)</t>
  </si>
  <si>
    <t>ZL01001001001</t>
  </si>
  <si>
    <t>安全文明施工</t>
  </si>
  <si>
    <t>1.1</t>
  </si>
  <si>
    <t>①</t>
  </si>
  <si>
    <t>环境保护</t>
  </si>
  <si>
    <t>分部分项工程量清单项目定额人工费+单价措施项目定额人工费</t>
  </si>
  <si>
    <t>1.2</t>
  </si>
  <si>
    <t>②</t>
  </si>
  <si>
    <t>文明施工</t>
  </si>
  <si>
    <t>1.3</t>
  </si>
  <si>
    <t>③</t>
  </si>
  <si>
    <t>安全施工</t>
  </si>
  <si>
    <t>1.4</t>
  </si>
  <si>
    <t>④</t>
  </si>
  <si>
    <t>临时设施</t>
  </si>
  <si>
    <t>ZL01001002001</t>
  </si>
  <si>
    <t>夜间施工</t>
  </si>
  <si>
    <t>ZL01001003001</t>
  </si>
  <si>
    <t>二次搬运</t>
  </si>
  <si>
    <t>ZL01001004001</t>
  </si>
  <si>
    <t>冬雨季施工</t>
  </si>
  <si>
    <t>ZL01001005001</t>
  </si>
  <si>
    <t>行车、行人干扰</t>
  </si>
  <si>
    <t>ZL01001006001</t>
  </si>
  <si>
    <t>地上、地下设施、建筑物的临时保护设施</t>
  </si>
  <si>
    <t>ZL01001007001</t>
  </si>
  <si>
    <t>已完工程及设备保护</t>
  </si>
  <si>
    <t>ZL01001008001</t>
  </si>
  <si>
    <t>工程定位复测费</t>
  </si>
  <si>
    <t>分部分项工程量清单.总价措施取费基础+单价措施项目清单.总价措施取费基础</t>
  </si>
  <si>
    <t xml:space="preserve">注:1“计算基础”中安全文明施工费可为“定额基价”、“定额人工费”或“定额人工费+定额机械费”，其他项目可为“定额人工费”或“定额人工费+定额机械费”。
   2 按施工方案计算的措施费，若无“计算基础”和“费率”的数值，也可只填“金额”数值，但应在备注栏说明施工方案出处或计算方法。 </t>
  </si>
  <si>
    <t>第2页  共3页</t>
  </si>
  <si>
    <t>ZL01002001001</t>
  </si>
  <si>
    <t>ZL01002002001</t>
  </si>
  <si>
    <t>ZL01002003001</t>
  </si>
  <si>
    <t>ZL01002004001</t>
  </si>
  <si>
    <t>ZL01002005001</t>
  </si>
  <si>
    <t>ZL01002006001</t>
  </si>
  <si>
    <t>ZL01002007001</t>
  </si>
  <si>
    <t>ZL01002008001</t>
  </si>
  <si>
    <t>第3页  共3页</t>
  </si>
  <si>
    <r>
      <rPr>
        <sz val="9"/>
        <color indexed="0"/>
        <rFont val="宋体"/>
        <charset val="134"/>
      </rPr>
      <t>ZL0200</t>
    </r>
    <r>
      <rPr>
        <sz val="9"/>
        <color indexed="0"/>
        <rFont val="宋体"/>
        <charset val="134"/>
      </rPr>
      <t>1</t>
    </r>
    <r>
      <rPr>
        <sz val="9"/>
        <color indexed="0"/>
        <rFont val="宋体"/>
        <charset val="134"/>
      </rPr>
      <t xml:space="preserve">     </t>
    </r>
  </si>
  <si>
    <r>
      <rPr>
        <sz val="9"/>
        <color indexed="0"/>
        <rFont val="宋体"/>
        <charset val="134"/>
      </rPr>
      <t>集约造林模型ZL02-</t>
    </r>
    <r>
      <rPr>
        <sz val="9"/>
        <color indexed="0"/>
        <rFont val="宋体"/>
        <charset val="134"/>
      </rPr>
      <t>1</t>
    </r>
    <r>
      <rPr>
        <sz val="9"/>
        <color indexed="0"/>
        <rFont val="宋体"/>
        <charset val="134"/>
      </rPr>
      <t xml:space="preserve">     </t>
    </r>
  </si>
  <si>
    <t>ZL02001001001</t>
  </si>
  <si>
    <t>ZL02001002001</t>
  </si>
  <si>
    <t>ZL02001003001</t>
  </si>
  <si>
    <t>ZL02001004001</t>
  </si>
  <si>
    <t>ZL02001005001</t>
  </si>
  <si>
    <t>ZL02001006001</t>
  </si>
  <si>
    <t>ZL02001007001</t>
  </si>
  <si>
    <t>ZL02001008001</t>
  </si>
  <si>
    <t xml:space="preserve">注:1“计算基础”中安全文明施工费可为“定额基价”、“定额人工费”或“定额人工费+定额机械费”，其他项目可为“定额人工费”或“定额人工费+定额机械费”。
   2 按施工方案计算的措施费，若无“计算基础”和“费率”的数值，也可只填“金额”数值，但应在备注栏说明施工方案出处或计算方法。                    
</t>
  </si>
  <si>
    <t>其他项目清单与计价汇总表</t>
  </si>
  <si>
    <t>第1页 共1页</t>
  </si>
  <si>
    <t>项 目 名 称</t>
  </si>
  <si>
    <t>结算金额(元)</t>
  </si>
  <si>
    <t>暂列金额</t>
  </si>
  <si>
    <t>暂估价</t>
  </si>
  <si>
    <t>2.1</t>
  </si>
  <si>
    <t>材料(工程设备)暂估价/结算价</t>
  </si>
  <si>
    <t>-</t>
  </si>
  <si>
    <t>2.2</t>
  </si>
  <si>
    <t>专业工程暂估价/结算价</t>
  </si>
  <si>
    <t>计日工</t>
  </si>
  <si>
    <t>总承包服务费</t>
  </si>
  <si>
    <t>暂列金额明细表</t>
  </si>
  <si>
    <t>第1页 共3页</t>
  </si>
  <si>
    <t>计量单位</t>
  </si>
  <si>
    <t>暂定金额(元)</t>
  </si>
  <si>
    <t>项</t>
  </si>
  <si>
    <t xml:space="preserve">注：此表由招标人填写，如不能详列，也可只列暂定金额总额，投标人应将上述暂列金额计入投标总价中。                                        </t>
  </si>
  <si>
    <t>第2页 共3页</t>
  </si>
  <si>
    <t xml:space="preserve">集约造林模型ZL01-2    </t>
  </si>
  <si>
    <t xml:space="preserve">集约造林模型ZL02-1    </t>
  </si>
  <si>
    <t>规费、税金项目计价表</t>
  </si>
  <si>
    <t>计算费率（％）</t>
  </si>
  <si>
    <t>金额(元)</t>
  </si>
  <si>
    <t>规费</t>
  </si>
  <si>
    <t>分部分项清单定额人工费+单价措施项目清单定额人工费</t>
  </si>
  <si>
    <t>销项增值税额</t>
  </si>
  <si>
    <t>分部分项工程费+措施项目费+其他项目费+规费+创优质工程奖补偿奖励费-按规定不计税的工程设备金额-除税甲供材料（设备）设备费</t>
  </si>
  <si>
    <t>附加税</t>
  </si>
  <si>
    <r>
      <rPr>
        <sz val="9"/>
        <color indexed="0"/>
        <rFont val="宋体"/>
        <charset val="134"/>
      </rPr>
      <t>ZL0100</t>
    </r>
    <r>
      <rPr>
        <sz val="9"/>
        <color indexed="0"/>
        <rFont val="宋体"/>
        <charset val="134"/>
      </rPr>
      <t>2</t>
    </r>
    <r>
      <rPr>
        <sz val="9"/>
        <color indexed="0"/>
        <rFont val="宋体"/>
        <charset val="134"/>
      </rPr>
      <t xml:space="preserve">     </t>
    </r>
  </si>
  <si>
    <r>
      <rPr>
        <sz val="9"/>
        <color indexed="0"/>
        <rFont val="宋体"/>
        <charset val="134"/>
      </rPr>
      <t>集约造林模型ZL01-</t>
    </r>
    <r>
      <rPr>
        <sz val="9"/>
        <color indexed="0"/>
        <rFont val="宋体"/>
        <charset val="134"/>
      </rPr>
      <t>2</t>
    </r>
    <r>
      <rPr>
        <sz val="9"/>
        <color indexed="0"/>
        <rFont val="宋体"/>
        <charset val="134"/>
      </rPr>
      <t xml:space="preserve">      </t>
    </r>
  </si>
  <si>
    <t>第3页 共3页</t>
  </si>
  <si>
    <t xml:space="preserve">ZL02001    </t>
  </si>
  <si>
    <t xml:space="preserve">集约造林模型ZL02001      </t>
  </si>
  <si>
    <t>人工、材料、机械价格表</t>
  </si>
  <si>
    <t>材料编码</t>
  </si>
  <si>
    <t>材料名称</t>
  </si>
  <si>
    <t>规格、型号
等特殊要求</t>
  </si>
  <si>
    <t>单 价 (元)</t>
  </si>
  <si>
    <t>AR000035</t>
  </si>
  <si>
    <t>抚育用工量</t>
  </si>
  <si>
    <t>AR000033</t>
  </si>
  <si>
    <t>AR000048</t>
  </si>
  <si>
    <t>3次</t>
  </si>
  <si>
    <t>AR000049</t>
  </si>
  <si>
    <t>3年</t>
  </si>
  <si>
    <t>UR000027</t>
  </si>
  <si>
    <t>AR000053</t>
  </si>
  <si>
    <t>用工定额</t>
  </si>
  <si>
    <t>AR000054</t>
  </si>
  <si>
    <t>5次</t>
  </si>
  <si>
    <t>AR000057</t>
  </si>
  <si>
    <t>AR000070</t>
  </si>
  <si>
    <t>10</t>
  </si>
  <si>
    <t>AR000083</t>
  </si>
  <si>
    <t>AR000084</t>
  </si>
  <si>
    <t>AR000085</t>
  </si>
  <si>
    <t>UR000070</t>
  </si>
  <si>
    <t>UR000071</t>
  </si>
  <si>
    <t>UR000072</t>
  </si>
  <si>
    <t>16</t>
  </si>
  <si>
    <t>UR000122</t>
  </si>
  <si>
    <t>17</t>
  </si>
  <si>
    <t>UR000257</t>
  </si>
  <si>
    <t>18</t>
  </si>
  <si>
    <t>UR000265</t>
  </si>
  <si>
    <t>19</t>
  </si>
  <si>
    <t>UR000272</t>
  </si>
  <si>
    <t>20</t>
  </si>
  <si>
    <t>UR000283</t>
  </si>
  <si>
    <t>21</t>
  </si>
  <si>
    <t>UR000290</t>
  </si>
  <si>
    <t>香桂</t>
  </si>
  <si>
    <t>1年生营养袋苗，含运输及二次搬运</t>
  </si>
  <si>
    <t>22</t>
  </si>
  <si>
    <t>UR000291</t>
  </si>
  <si>
    <t>红椿</t>
  </si>
  <si>
    <t>23</t>
  </si>
  <si>
    <t>UR000292</t>
  </si>
  <si>
    <t>香椿</t>
  </si>
  <si>
    <t>24</t>
  </si>
  <si>
    <t>UR000293</t>
  </si>
  <si>
    <t>栾树</t>
  </si>
  <si>
    <t>25</t>
  </si>
  <si>
    <t>UR000161</t>
  </si>
  <si>
    <t>辛夷（紫玉兰）</t>
  </si>
  <si>
    <t>带土苗，地径≥5厘米，苗高≥350厘米，含运输及二次搬运</t>
  </si>
  <si>
    <t>26</t>
  </si>
  <si>
    <t>AR000133</t>
  </si>
  <si>
    <t>农家肥、有机肥混肥费用</t>
  </si>
  <si>
    <t>27</t>
  </si>
  <si>
    <t>AR000134</t>
  </si>
  <si>
    <t>辅助措施用工</t>
  </si>
  <si>
    <t>28</t>
  </si>
  <si>
    <t>AR000135</t>
  </si>
  <si>
    <t>29</t>
  </si>
  <si>
    <t>AR000136</t>
  </si>
  <si>
    <t>浇水（含定根水）</t>
  </si>
  <si>
    <t>工程名称：遂宁市安居区国家储备林项目（一期）海龙村建设项目（营造林建设）\中幼龄林抚育【FY】</t>
  </si>
  <si>
    <t>FY01001</t>
  </si>
  <si>
    <t>抚育模型FY01-1</t>
  </si>
  <si>
    <t>FY01002</t>
  </si>
  <si>
    <t>抚育模型FY01-2</t>
  </si>
  <si>
    <t>FY01003</t>
  </si>
  <si>
    <t>抚育模型FY01-3</t>
  </si>
  <si>
    <t xml:space="preserve">分部分项工程量清单综合单价计算表
</t>
  </si>
  <si>
    <t xml:space="preserve">遂宁市安居区国家储备林项目（一期）海龙村建设项目（营造林建设）【FY】      </t>
  </si>
  <si>
    <t xml:space="preserve">FY01001      </t>
  </si>
  <si>
    <t xml:space="preserve">抚育模型FY01-1      </t>
  </si>
  <si>
    <t>FY01-1-JF</t>
  </si>
  <si>
    <t>间伐</t>
  </si>
  <si>
    <t>标识目标树</t>
  </si>
  <si>
    <t>标识保留幼苗幼树</t>
  </si>
  <si>
    <t>标识采伐木</t>
  </si>
  <si>
    <t>间伐作业</t>
  </si>
  <si>
    <t>打枝造材</t>
  </si>
  <si>
    <t>归楞装车</t>
  </si>
  <si>
    <t>剩余物清理</t>
  </si>
  <si>
    <t>FY01-1-XZGG</t>
  </si>
  <si>
    <t>修枝割灌</t>
  </si>
  <si>
    <t>FY01-1-GH</t>
  </si>
  <si>
    <t xml:space="preserve">FY01002      </t>
  </si>
  <si>
    <t xml:space="preserve">抚育模型FY01-2      </t>
  </si>
  <si>
    <t>FY01-2-JF</t>
  </si>
  <si>
    <t>FY01-2-XZGG</t>
  </si>
  <si>
    <t>FY01-2-GH</t>
  </si>
  <si>
    <t xml:space="preserve">FY01003     </t>
  </si>
  <si>
    <t xml:space="preserve">抚育模型FY01-3     </t>
  </si>
  <si>
    <t>FY01-3-JF</t>
  </si>
  <si>
    <t>FY01-3-XZGG</t>
  </si>
  <si>
    <t>FY01-3-GH</t>
  </si>
  <si>
    <t>造材、打枝</t>
  </si>
  <si>
    <t>集材与归楞</t>
  </si>
  <si>
    <t>清理剩余物</t>
  </si>
  <si>
    <t xml:space="preserve">FY01003      </t>
  </si>
  <si>
    <t xml:space="preserve">遂宁市安居区国家储备林项目（一期）海龙村建设项目（营造林建设）【FY型】      </t>
  </si>
  <si>
    <t xml:space="preserve">抚育模型FY01-1    </t>
  </si>
  <si>
    <t>FY01001001001</t>
  </si>
  <si>
    <t>FY01001002001</t>
  </si>
  <si>
    <t>FY01001003001</t>
  </si>
  <si>
    <t>FY01001004001</t>
  </si>
  <si>
    <t>FY01001005001</t>
  </si>
  <si>
    <t>FY01001006001</t>
  </si>
  <si>
    <t>FY01001007001</t>
  </si>
  <si>
    <t>FY01001008001</t>
  </si>
  <si>
    <t xml:space="preserve">注:1“计算基础”中安全文明施工费可为“定额基价”、“定额人工费”或“定额人工费+定额机械费”，其他项目可为“定额人工费”或“定额人工费+定额机械费”。
   2 按施工方案计算的措施费，若无“计算基础”和“费率”的数值，也可只填“金额”数值，但应在备注栏说明施工方案出处或计算方法。  </t>
  </si>
  <si>
    <t xml:space="preserve">FY01002     </t>
  </si>
  <si>
    <t xml:space="preserve">抚育模型FY01-2   </t>
  </si>
  <si>
    <t>FY01002001001</t>
  </si>
  <si>
    <t>FY01002002001</t>
  </si>
  <si>
    <t>FY01002003001</t>
  </si>
  <si>
    <t>FY01002004001</t>
  </si>
  <si>
    <t>FY01002005001</t>
  </si>
  <si>
    <t>FY01002006001</t>
  </si>
  <si>
    <t>FY01002007001</t>
  </si>
  <si>
    <t>FY01002008001</t>
  </si>
  <si>
    <t xml:space="preserve">注:1“计算基础”中安全文明施工费可为“定额基价”、“定额人工费”或“定额人工费+定额机械费”，其他项目可为“定额人工费”或“定额人工费+定额机械费”。
   2 按施工方案计算的措施费，若无“计算基础”和“费率”的数值，也可只填“金额”数值，但应在备注栏说明施工方案出处或计算方法。                                 
</t>
  </si>
  <si>
    <t xml:space="preserve">抚育模型FY01-3   </t>
  </si>
  <si>
    <t>FY01003001001</t>
  </si>
  <si>
    <t>FY01003002001</t>
  </si>
  <si>
    <t>FY01003003001</t>
  </si>
  <si>
    <t>FY01003004001</t>
  </si>
  <si>
    <t>FY01003005001</t>
  </si>
  <si>
    <t>FY01003006001</t>
  </si>
  <si>
    <t>FY01003007001</t>
  </si>
  <si>
    <t>FY01003008001</t>
  </si>
  <si>
    <t xml:space="preserve">抚育模型FY01-1       </t>
  </si>
  <si>
    <t xml:space="preserve">抚育模型FY01-2       </t>
  </si>
  <si>
    <t xml:space="preserve">FY01003    </t>
  </si>
  <si>
    <t xml:space="preserve">抚育模型FY01-3      </t>
  </si>
  <si>
    <t xml:space="preserve">抚育模型FY01-1     </t>
  </si>
  <si>
    <t xml:space="preserve">抚育模型FY01-2     </t>
  </si>
  <si>
    <t xml:space="preserve">抚育模型FY01-3    </t>
  </si>
  <si>
    <t>UR000500</t>
  </si>
  <si>
    <t>UR000501</t>
  </si>
  <si>
    <t>UR000025</t>
  </si>
  <si>
    <t>AR000001</t>
  </si>
  <si>
    <t>AR000002</t>
  </si>
  <si>
    <t>AR000042</t>
  </si>
  <si>
    <t>AR000043</t>
  </si>
  <si>
    <t>UR000502</t>
  </si>
  <si>
    <t>UR000258</t>
  </si>
  <si>
    <t>元/年</t>
  </si>
  <si>
    <t>工程名称：遂宁市安居区国家储备林项目（一期）海龙村建设项目（营造林建设）\现有林改培【GP】</t>
  </si>
  <si>
    <t>GP01001</t>
  </si>
  <si>
    <t>改培模型GP01-1</t>
  </si>
  <si>
    <t>GP01002</t>
  </si>
  <si>
    <t>改培模型GP01-2</t>
  </si>
  <si>
    <t>GP02001</t>
  </si>
  <si>
    <t>改培模型GP02-1</t>
  </si>
  <si>
    <t>GP02002</t>
  </si>
  <si>
    <t>改培模型GP02-2</t>
  </si>
  <si>
    <t>GP03001</t>
  </si>
  <si>
    <t>改培模型GP03-1</t>
  </si>
  <si>
    <t>第1页共5页</t>
  </si>
  <si>
    <t xml:space="preserve">遂宁市安居区国家储备林项目（一期）海龙村建设项目（营造林建设）【GP】      </t>
  </si>
  <si>
    <t xml:space="preserve">GP01001      </t>
  </si>
  <si>
    <t xml:space="preserve">改培模型GP01-1      </t>
  </si>
  <si>
    <t>GP01-1-JF</t>
  </si>
  <si>
    <t>GP01-1-BZ</t>
  </si>
  <si>
    <t>补植</t>
  </si>
  <si>
    <t>GP01-1-SJF</t>
  </si>
  <si>
    <t>GP01-1-ZF</t>
  </si>
  <si>
    <t>GP01-1-BCHFZ</t>
  </si>
  <si>
    <t>GP01-1-FY</t>
  </si>
  <si>
    <t>GP01-1-GH</t>
  </si>
  <si>
    <t>第2页共5页</t>
  </si>
  <si>
    <t xml:space="preserve">GP01002      </t>
  </si>
  <si>
    <t xml:space="preserve">改培模型GP01-2      </t>
  </si>
  <si>
    <t>GP01-2-JF</t>
  </si>
  <si>
    <t>GP01-2-BZ</t>
  </si>
  <si>
    <t>GP01-2-SJF</t>
  </si>
  <si>
    <t>GP01-2-ZF</t>
  </si>
  <si>
    <t>GP01-2-BCHFZ</t>
  </si>
  <si>
    <t>GP01-2-FY</t>
  </si>
  <si>
    <t>GP01-2-GH</t>
  </si>
  <si>
    <t>第3页共5页</t>
  </si>
  <si>
    <t xml:space="preserve">GP02001      </t>
  </si>
  <si>
    <t xml:space="preserve">改培模型GP02-1      </t>
  </si>
  <si>
    <t>GP02-1-JF</t>
  </si>
  <si>
    <t>GP02-1-BZ</t>
  </si>
  <si>
    <t>GP02-1-SJF</t>
  </si>
  <si>
    <t>GP02-1-ZF</t>
  </si>
  <si>
    <t>GP02-1-BCHFZ</t>
  </si>
  <si>
    <t>GP02-1-FY</t>
  </si>
  <si>
    <t>GP02-2-FZCS</t>
  </si>
  <si>
    <t>GP02-1-GH</t>
  </si>
  <si>
    <t>第4页共5页</t>
  </si>
  <si>
    <t xml:space="preserve">GP02002      </t>
  </si>
  <si>
    <t xml:space="preserve">改培模型GP02-2      </t>
  </si>
  <si>
    <t>GP02-2-JF</t>
  </si>
  <si>
    <t>GP02-2-BZ</t>
  </si>
  <si>
    <t>GP02-2-SJF</t>
  </si>
  <si>
    <t>GP02-2-ZF</t>
  </si>
  <si>
    <t>GP02-2-BCHFZ</t>
  </si>
  <si>
    <t>GP02-2-FY</t>
  </si>
  <si>
    <t>GP02-2-GH</t>
  </si>
  <si>
    <t>第5页共5页</t>
  </si>
  <si>
    <t xml:space="preserve">GP03001      </t>
  </si>
  <si>
    <t xml:space="preserve">改培模型GP03-1      </t>
  </si>
  <si>
    <t>GP03-1-JF</t>
  </si>
  <si>
    <t>GP03-1-BZ</t>
  </si>
  <si>
    <t>GP03-1-SJF</t>
  </si>
  <si>
    <t>GP03-1-ZF</t>
  </si>
  <si>
    <t>GP03-1-BCHFZ</t>
  </si>
  <si>
    <t>GP03-1-FY</t>
  </si>
  <si>
    <t>GP03-1-FZCS</t>
  </si>
  <si>
    <t>GP03-1-GH</t>
  </si>
  <si>
    <t xml:space="preserve">遂宁市安居区国家储备林建设项目（一期）海龙片区营造林作业设计【GP】      </t>
  </si>
  <si>
    <t xml:space="preserve">GP03002      </t>
  </si>
  <si>
    <t xml:space="preserve">改培模型GP03-2      </t>
  </si>
  <si>
    <t>GP03-2-JF</t>
  </si>
  <si>
    <t>GP03-2-BZ</t>
  </si>
  <si>
    <t>GP03-2-SJF</t>
  </si>
  <si>
    <t>GP03-2-ZF</t>
  </si>
  <si>
    <t>GP03-2-BCHFZ</t>
  </si>
  <si>
    <t>GP03-2-FY</t>
  </si>
  <si>
    <t>GP03-2-FZCS</t>
  </si>
  <si>
    <t>GP03-2-GH</t>
  </si>
  <si>
    <t>清单计价专家</t>
  </si>
  <si>
    <t>第1页共10页</t>
  </si>
  <si>
    <t>植苗</t>
  </si>
  <si>
    <t>初植量</t>
  </si>
  <si>
    <t>补植量</t>
  </si>
  <si>
    <t>苗木综合单价（含运输及二次搬运）</t>
  </si>
  <si>
    <t>浇定根水用工量</t>
  </si>
  <si>
    <t>有机肥费用</t>
  </si>
  <si>
    <t>第2页共10页</t>
  </si>
  <si>
    <t>30</t>
  </si>
  <si>
    <t>31</t>
  </si>
  <si>
    <t>32</t>
  </si>
  <si>
    <t>33</t>
  </si>
  <si>
    <t>34</t>
  </si>
  <si>
    <t>抚育浇水</t>
  </si>
  <si>
    <t>35</t>
  </si>
  <si>
    <t>36</t>
  </si>
  <si>
    <t>GP01-1-FZCS</t>
  </si>
  <si>
    <t>37</t>
  </si>
  <si>
    <t>38</t>
  </si>
  <si>
    <t>39</t>
  </si>
  <si>
    <t>40</t>
  </si>
  <si>
    <t>41</t>
  </si>
  <si>
    <t>第3页共10页</t>
  </si>
  <si>
    <t>第4页共10页</t>
  </si>
  <si>
    <t>GP01-2-FZCS</t>
  </si>
  <si>
    <t>第5页共10页</t>
  </si>
  <si>
    <t>第6页共10页</t>
  </si>
  <si>
    <t>GP02-1-FZCS</t>
  </si>
  <si>
    <t>第7页共10页</t>
  </si>
  <si>
    <t>第8页共10页</t>
  </si>
  <si>
    <t>第9页共10页</t>
  </si>
  <si>
    <t>第10页共10页</t>
  </si>
  <si>
    <t>第11页共12页</t>
  </si>
  <si>
    <t>第12页共12页</t>
  </si>
  <si>
    <t>第1页  共5页</t>
  </si>
  <si>
    <t xml:space="preserve">遂宁市安居区国家储备林项目（一期）海龙村建设项目（营造林建设）【GP型】      </t>
  </si>
  <si>
    <t xml:space="preserve">GP01001     </t>
  </si>
  <si>
    <t xml:space="preserve">改培模型GP01-1    </t>
  </si>
  <si>
    <t>GP01001001001</t>
  </si>
  <si>
    <t>GP01001002001</t>
  </si>
  <si>
    <t>GP01001003001</t>
  </si>
  <si>
    <t>GP01001004001</t>
  </si>
  <si>
    <t>GP01001005001</t>
  </si>
  <si>
    <t>GP01001006001</t>
  </si>
  <si>
    <t>GP01001007001</t>
  </si>
  <si>
    <t>GP01001008001</t>
  </si>
  <si>
    <t xml:space="preserve">注:1“计算基础”中安全文明施工费可为“定额基价”、“定额人工费”或“定额人工费+定额机械费”，其他项目可为“定额人工费”或“定额人工费+定额机械费”。
   2 按施工方案计算的措施费，若无“计算基础”和“费率”的数值，也可只填“金额”数值，但应在备注栏说明施工方案出处或计算方法。   </t>
  </si>
  <si>
    <t>第2页  共5页</t>
  </si>
  <si>
    <t xml:space="preserve">GP01002     </t>
  </si>
  <si>
    <t xml:space="preserve">改培模型GP01-2   </t>
  </si>
  <si>
    <t>GP01002001001</t>
  </si>
  <si>
    <t>GP01002002001</t>
  </si>
  <si>
    <t>GP01002003001</t>
  </si>
  <si>
    <t>GP01002004001</t>
  </si>
  <si>
    <t>GP01002005001</t>
  </si>
  <si>
    <t>GP01002006001</t>
  </si>
  <si>
    <t>GP01002007001</t>
  </si>
  <si>
    <t>GP01002008001</t>
  </si>
  <si>
    <t xml:space="preserve">注:1“计算基础”中安全文明施工费可为“定额基价”、“定额人工费”或“定额人工费+定额机械费”，其他项目可为“定额人工费”或“定额人工费+定额机械费”。
   2 按施工方案计算的措施费，若无“计算基础”和“费率”的数值，也可只填“金额”数值，但应在备注栏说明施工方案出处或计算方法。    
</t>
  </si>
  <si>
    <t>第3页  共5页</t>
  </si>
  <si>
    <t xml:space="preserve">GP02001     </t>
  </si>
  <si>
    <t xml:space="preserve">改培模型GP02-1   </t>
  </si>
  <si>
    <t>GP02001001001</t>
  </si>
  <si>
    <t>GP02001002001</t>
  </si>
  <si>
    <t>GP02001003001</t>
  </si>
  <si>
    <t>GP02001004001</t>
  </si>
  <si>
    <t>GP02001005001</t>
  </si>
  <si>
    <t>GP02001006001</t>
  </si>
  <si>
    <t>GP02001007001</t>
  </si>
  <si>
    <t>GP02001008001</t>
  </si>
  <si>
    <t xml:space="preserve">注:1“计算基础”中安全文明施工费可为“定额基价”、“定额人工费”或“定额人工费+定额机械费”，其他项目可为“定额人工费”或“定额人工费+定额机械费”。
   2 按施工方案计算的措施费，若无“计算基础”和“费率”的数值，也可只填“金额”数值，但应在备注栏说明施工方案出处或计算方法。                               
</t>
  </si>
  <si>
    <t>第4页  共5页</t>
  </si>
  <si>
    <t xml:space="preserve">GP02002    </t>
  </si>
  <si>
    <t xml:space="preserve">改培模型GP02-2   </t>
  </si>
  <si>
    <t>GP02002001001</t>
  </si>
  <si>
    <t>GP02002002001</t>
  </si>
  <si>
    <t>GP02002003001</t>
  </si>
  <si>
    <t>GP02002004001</t>
  </si>
  <si>
    <t>GP02002005001</t>
  </si>
  <si>
    <t>GP02002006001</t>
  </si>
  <si>
    <t>GP02002007001</t>
  </si>
  <si>
    <t>GP02002008001</t>
  </si>
  <si>
    <t>第5页  共5页</t>
  </si>
  <si>
    <t xml:space="preserve">GP03001   </t>
  </si>
  <si>
    <t xml:space="preserve">改培模型GP03-1   </t>
  </si>
  <si>
    <t>GP03001001001</t>
  </si>
  <si>
    <t>GP03001002001</t>
  </si>
  <si>
    <t>GP03001003001</t>
  </si>
  <si>
    <t>GP03001004001</t>
  </si>
  <si>
    <t>GP03001005001</t>
  </si>
  <si>
    <t>GP03001006001</t>
  </si>
  <si>
    <t>GP03001007001</t>
  </si>
  <si>
    <t>GP03001008001</t>
  </si>
  <si>
    <t>第1页 共5页</t>
  </si>
  <si>
    <t xml:space="preserve">改培模型GP01-1           </t>
  </si>
  <si>
    <t>第2页 共5页</t>
  </si>
  <si>
    <t xml:space="preserve">改培模型GP01-2          </t>
  </si>
  <si>
    <t>第3页 共5页</t>
  </si>
  <si>
    <t xml:space="preserve">改培模型GP02-1          </t>
  </si>
  <si>
    <t>第4页 共5页</t>
  </si>
  <si>
    <t xml:space="preserve">GP02002     </t>
  </si>
  <si>
    <t xml:space="preserve">改培模型GP02-2          </t>
  </si>
  <si>
    <t>第5页 共5页</t>
  </si>
  <si>
    <t xml:space="preserve">GP03001     </t>
  </si>
  <si>
    <t xml:space="preserve">改培模型GP03-1          </t>
  </si>
  <si>
    <t xml:space="preserve">改培模型GP01-1     </t>
  </si>
  <si>
    <t xml:space="preserve">改培模型GP01-2     </t>
  </si>
  <si>
    <t xml:space="preserve">改培模型GP02-1     </t>
  </si>
  <si>
    <t xml:space="preserve">改培模型GP02-2    </t>
  </si>
  <si>
    <t xml:space="preserve">改培模型GP03-1    </t>
  </si>
  <si>
    <t>AR000004</t>
  </si>
  <si>
    <t>AR000005</t>
  </si>
  <si>
    <t>AR000006</t>
  </si>
  <si>
    <t>UR000018</t>
  </si>
  <si>
    <t>浇水用工量</t>
  </si>
  <si>
    <t>AR000046</t>
  </si>
  <si>
    <t>AR000047</t>
  </si>
  <si>
    <t>AR000044</t>
  </si>
  <si>
    <t>浇水年次数</t>
  </si>
  <si>
    <t>1次/年</t>
  </si>
  <si>
    <t>AR000045</t>
  </si>
  <si>
    <t>浇水年限</t>
  </si>
  <si>
    <t>UR000041</t>
  </si>
  <si>
    <t>UR000032</t>
  </si>
  <si>
    <t>AR000050</t>
  </si>
  <si>
    <t>UR000262</t>
  </si>
  <si>
    <t>UR000299</t>
  </si>
  <si>
    <t>UR000300</t>
  </si>
  <si>
    <t>1年生营养袋苗，含二次搬运费</t>
  </si>
  <si>
    <t>UR000301</t>
  </si>
  <si>
    <t>桤木</t>
  </si>
  <si>
    <t>UR000302</t>
  </si>
  <si>
    <t>香樟</t>
  </si>
  <si>
    <t>UR000303</t>
  </si>
  <si>
    <t>枫香</t>
  </si>
  <si>
    <t>带土苗，米径3-5厘米，含二次搬运费</t>
  </si>
  <si>
    <t>UR000304</t>
  </si>
  <si>
    <t>乌桕</t>
  </si>
  <si>
    <t>UR000305</t>
  </si>
  <si>
    <t>带土大苗，胸径径15-18厘米，，树高7-7.5米，含二次搬运费</t>
  </si>
  <si>
    <t>UR000306</t>
  </si>
  <si>
    <t>UR000307</t>
  </si>
  <si>
    <t>带土大苗，胸径15-18厘米，树高7.5-8.5米，含二次搬运费</t>
  </si>
  <si>
    <t>UR000308</t>
  </si>
  <si>
    <t>桃树</t>
  </si>
  <si>
    <t>带土大苗，胸径6-10厘米，树高2-5米，含二次搬运费</t>
  </si>
  <si>
    <t>UR000309</t>
  </si>
  <si>
    <t>杜鹃</t>
  </si>
  <si>
    <t>灌木，高度0.25-0.3米，冠幅0.1-0.15米，含二次搬运费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</si>
</sst>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_);[Red]\(0.00\)"/>
    <numFmt numFmtId="179" formatCode="[DBNum2][$RMB]General;[Red][DBNum2][$RMB]General"/>
  </numFmts>
  <fonts count="46">
    <font>
      <sz val="11"/>
      <color theme="1"/>
      <name val="宋体"/>
      <charset val="134"/>
      <scheme val="minor"/>
    </font>
    <font>
      <b/>
      <sz val="16"/>
      <color indexed="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b/>
      <sz val="14"/>
      <color indexed="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4"/>
      <color theme="1"/>
      <name val="宋体"/>
      <charset val="134"/>
    </font>
    <font>
      <sz val="12"/>
      <color indexed="8"/>
      <name val="宋体"/>
      <charset val="134"/>
    </font>
    <font>
      <b/>
      <sz val="18"/>
      <color indexed="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10"/>
      <color theme="1"/>
      <name val="宋体"/>
      <charset val="134"/>
    </font>
    <font>
      <sz val="22"/>
      <color indexed="0"/>
      <name val="宋体"/>
      <charset val="134"/>
    </font>
    <font>
      <sz val="16"/>
      <color indexed="0"/>
      <name val="宋体"/>
      <charset val="134"/>
    </font>
    <font>
      <b/>
      <sz val="24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0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6" applyNumberFormat="0" applyAlignment="0" applyProtection="0">
      <alignment vertical="center"/>
    </xf>
    <xf numFmtId="0" fontId="35" fillId="5" borderId="17" applyNumberFormat="0" applyAlignment="0" applyProtection="0">
      <alignment vertical="center"/>
    </xf>
    <xf numFmtId="0" fontId="36" fillId="5" borderId="16" applyNumberFormat="0" applyAlignment="0" applyProtection="0">
      <alignment vertical="center"/>
    </xf>
    <xf numFmtId="0" fontId="37" fillId="6" borderId="18" applyNumberFormat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/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/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7" fillId="0" borderId="2" xfId="0" applyNumberFormat="1" applyFont="1" applyFill="1" applyBorder="1" applyAlignment="1"/>
    <xf numFmtId="0" fontId="4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0" fillId="2" borderId="0" xfId="0" applyFill="1">
      <alignment vertical="center"/>
    </xf>
    <xf numFmtId="0" fontId="8" fillId="0" borderId="0" xfId="0" applyFont="1" applyFill="1" applyAlignment="1">
      <alignment horizontal="center" vertical="top" wrapText="1"/>
    </xf>
    <xf numFmtId="0" fontId="0" fillId="0" borderId="0" xfId="0" applyFill="1" applyAlignment="1">
      <alignment vertical="center"/>
    </xf>
    <xf numFmtId="2" fontId="4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right" vertical="top" wrapText="1"/>
    </xf>
    <xf numFmtId="177" fontId="4" fillId="0" borderId="2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right" vertical="top" wrapText="1"/>
    </xf>
    <xf numFmtId="177" fontId="0" fillId="0" borderId="0" xfId="0" applyNumberFormat="1" applyFill="1" applyAlignment="1"/>
    <xf numFmtId="178" fontId="4" fillId="0" borderId="2" xfId="0" applyNumberFormat="1" applyFont="1" applyFill="1" applyBorder="1" applyAlignment="1">
      <alignment horizontal="right" vertical="center" wrapText="1"/>
    </xf>
    <xf numFmtId="178" fontId="4" fillId="0" borderId="2" xfId="0" applyNumberFormat="1" applyFont="1" applyFill="1" applyBorder="1" applyAlignment="1">
      <alignment horizontal="right" vertical="top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177" fontId="2" fillId="2" borderId="2" xfId="0" applyNumberFormat="1" applyFont="1" applyFill="1" applyBorder="1" applyAlignment="1">
      <alignment horizontal="right" vertical="center" wrapText="1"/>
    </xf>
    <xf numFmtId="177" fontId="7" fillId="2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7" fillId="0" borderId="0" xfId="0" applyFont="1" applyFill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9" fillId="0" borderId="0" xfId="0" applyFont="1" applyFill="1" applyAlignment="1">
      <alignment horizontal="left" vertical="center" wrapText="1"/>
    </xf>
    <xf numFmtId="0" fontId="5" fillId="0" borderId="0" xfId="0" applyFont="1" applyFill="1">
      <alignment vertical="center"/>
    </xf>
    <xf numFmtId="2" fontId="7" fillId="0" borderId="2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58" fontId="4" fillId="0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2" xfId="0" applyNumberFormat="1" applyFill="1" applyBorder="1">
      <alignment vertical="center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right" vertical="center" wrapText="1"/>
    </xf>
    <xf numFmtId="178" fontId="10" fillId="0" borderId="2" xfId="0" applyNumberFormat="1" applyFont="1" applyFill="1" applyBorder="1" applyAlignment="1">
      <alignment vertical="center" wrapText="1"/>
    </xf>
    <xf numFmtId="178" fontId="10" fillId="0" borderId="2" xfId="0" applyNumberFormat="1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0" fontId="0" fillId="0" borderId="0" xfId="0" applyFont="1" applyFill="1" applyAlignment="1"/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right" vertical="top" wrapText="1"/>
    </xf>
    <xf numFmtId="2" fontId="10" fillId="0" borderId="2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>
      <alignment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7" fillId="0" borderId="2" xfId="0" applyNumberFormat="1" applyFont="1" applyFill="1" applyBorder="1">
      <alignment vertical="center"/>
    </xf>
    <xf numFmtId="0" fontId="12" fillId="0" borderId="0" xfId="0" applyFont="1" applyFill="1" applyBorder="1" applyAlignment="1"/>
    <xf numFmtId="0" fontId="0" fillId="0" borderId="0" xfId="0" applyFill="1" applyBorder="1">
      <alignment vertical="center"/>
    </xf>
    <xf numFmtId="0" fontId="13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/>
    </xf>
    <xf numFmtId="177" fontId="18" fillId="0" borderId="4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Alignment="1">
      <alignment horizontal="right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177" fontId="0" fillId="0" borderId="9" xfId="0" applyNumberFormat="1" applyFont="1" applyFill="1" applyBorder="1" applyAlignment="1">
      <alignment horizontal="center" vertical="center" wrapText="1"/>
    </xf>
    <xf numFmtId="177" fontId="0" fillId="0" borderId="9" xfId="0" applyNumberFormat="1" applyFont="1" applyFill="1" applyBorder="1" applyAlignment="1">
      <alignment horizontal="center" vertical="center" wrapText="1"/>
    </xf>
    <xf numFmtId="177" fontId="12" fillId="0" borderId="9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right" wrapText="1"/>
    </xf>
    <xf numFmtId="177" fontId="24" fillId="0" borderId="1" xfId="0" applyNumberFormat="1" applyFont="1" applyFill="1" applyBorder="1" applyAlignment="1">
      <alignment horizontal="center" wrapText="1"/>
    </xf>
    <xf numFmtId="179" fontId="24" fillId="0" borderId="1" xfId="0" applyNumberFormat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right" wrapText="1"/>
    </xf>
    <xf numFmtId="0" fontId="24" fillId="0" borderId="1" xfId="0" applyFont="1" applyFill="1" applyBorder="1" applyAlignment="1">
      <alignment horizontal="center" vertical="center" wrapText="1"/>
    </xf>
    <xf numFmtId="57" fontId="24" fillId="0" borderId="0" xfId="0" applyNumberFormat="1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4" fillId="0" borderId="0" xfId="0" applyFont="1" applyFill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4&#23433;&#23621;&#39033;&#30446;\9.&#20648;&#22791;&#26519;&#39033;&#30446;\5&#12289;&#21171;&#21153;&#28165;&#21333;\&#23433;&#23621;&#21306;&#20648;&#22791;&#26519;&#35774;&#35745;&#38468;&#34920;20240730&#25913;-8.23&#2591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A-1各类面积 "/>
      <sheetName val="附表A-2各类蓄积"/>
      <sheetName val="附表A-3建设任务按行政区划统计表"/>
      <sheetName val="附表A-4需苗量统计表"/>
      <sheetName val="附表A-5营造林工程直接费汇总表"/>
      <sheetName val="附表A-6辅助材料及用工量统计表"/>
      <sheetName val="附表B-1立地类型划分表"/>
      <sheetName val="附表B-2集约人工栽培类型设计表"/>
      <sheetName val="B-3现有林改培、中幼林抚育模型表"/>
      <sheetName val="附表C-1营林建设地块一览表"/>
      <sheetName val="附表C-2营造林技术经济指标表"/>
      <sheetName val="附表C-3集约人工栽培地块设计表"/>
      <sheetName val="附表C-4现有林分改培及抚育设计表"/>
      <sheetName val="附表C-5营造林工程量表"/>
      <sheetName val="附表C-6营造林工程投资概算"/>
      <sheetName val="附表D-1地块现状调查表"/>
      <sheetName val="附表D-2标准地调查表"/>
      <sheetName val="附表D-2标准地调查表 (2)"/>
      <sheetName val="附表D-3地块设计表"/>
      <sheetName val="附表D-4地块采伐径级统计表"/>
    </sheetNames>
    <sheetDataSet>
      <sheetData sheetId="0" refreshError="1"/>
      <sheetData sheetId="1" refreshError="1"/>
      <sheetData sheetId="2" refreshError="1">
        <row r="5">
          <cell r="E5">
            <v>76.66</v>
          </cell>
        </row>
        <row r="5">
          <cell r="I5">
            <v>3773.7</v>
          </cell>
        </row>
        <row r="5">
          <cell r="P5">
            <v>1165.55</v>
          </cell>
        </row>
        <row r="6">
          <cell r="E6">
            <v>76.66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">
          <cell r="F3" t="str">
            <v>ZL01-1</v>
          </cell>
          <cell r="G3" t="str">
            <v>ZL01-2</v>
          </cell>
          <cell r="H3" t="str">
            <v>ZL02-1</v>
          </cell>
        </row>
        <row r="5">
          <cell r="N5">
            <v>28810.83</v>
          </cell>
        </row>
        <row r="6">
          <cell r="I6">
            <v>128</v>
          </cell>
          <cell r="J6">
            <v>128</v>
          </cell>
          <cell r="K6">
            <v>128</v>
          </cell>
          <cell r="L6">
            <v>128</v>
          </cell>
          <cell r="M6">
            <v>128</v>
          </cell>
          <cell r="N6">
            <v>128</v>
          </cell>
          <cell r="O6">
            <v>128</v>
          </cell>
          <cell r="P6">
            <v>128</v>
          </cell>
          <cell r="Q6">
            <v>128</v>
          </cell>
        </row>
        <row r="7">
          <cell r="N7">
            <v>232</v>
          </cell>
          <cell r="O7">
            <v>232</v>
          </cell>
          <cell r="P7">
            <v>232</v>
          </cell>
          <cell r="Q7">
            <v>232</v>
          </cell>
        </row>
        <row r="8">
          <cell r="I8">
            <v>0.47</v>
          </cell>
          <cell r="J8">
            <v>0.47</v>
          </cell>
          <cell r="K8">
            <v>0.47</v>
          </cell>
          <cell r="L8">
            <v>0.47</v>
          </cell>
          <cell r="M8">
            <v>0.47</v>
          </cell>
          <cell r="N8">
            <v>0.47</v>
          </cell>
          <cell r="O8">
            <v>0.47</v>
          </cell>
          <cell r="P8">
            <v>0.47</v>
          </cell>
          <cell r="Q8">
            <v>0.47</v>
          </cell>
        </row>
        <row r="9">
          <cell r="I9">
            <v>0.17</v>
          </cell>
          <cell r="J9">
            <v>0.17</v>
          </cell>
          <cell r="K9">
            <v>0.17</v>
          </cell>
          <cell r="L9">
            <v>0.17</v>
          </cell>
          <cell r="M9">
            <v>0.17</v>
          </cell>
          <cell r="N9">
            <v>0.17</v>
          </cell>
          <cell r="O9">
            <v>0.145</v>
          </cell>
          <cell r="P9">
            <v>0.145</v>
          </cell>
          <cell r="Q9">
            <v>0.145</v>
          </cell>
        </row>
        <row r="10">
          <cell r="I10">
            <v>0.765</v>
          </cell>
          <cell r="J10">
            <v>0.765</v>
          </cell>
          <cell r="K10">
            <v>0.765</v>
          </cell>
          <cell r="L10">
            <v>0.765</v>
          </cell>
          <cell r="M10">
            <v>0.765</v>
          </cell>
          <cell r="N10">
            <v>0.765</v>
          </cell>
          <cell r="O10">
            <v>0.515</v>
          </cell>
          <cell r="P10">
            <v>0.515</v>
          </cell>
          <cell r="Q10">
            <v>0.515</v>
          </cell>
        </row>
        <row r="11">
          <cell r="I11">
            <v>2.655</v>
          </cell>
          <cell r="J11">
            <v>2.5</v>
          </cell>
          <cell r="K11">
            <v>2.655</v>
          </cell>
          <cell r="L11">
            <v>2.5</v>
          </cell>
          <cell r="M11">
            <v>2.655</v>
          </cell>
          <cell r="N11">
            <v>2.5</v>
          </cell>
          <cell r="O11">
            <v>1.945</v>
          </cell>
          <cell r="P11">
            <v>1.945</v>
          </cell>
          <cell r="Q11">
            <v>1.945</v>
          </cell>
        </row>
        <row r="12">
          <cell r="I12">
            <v>1.2</v>
          </cell>
          <cell r="J12">
            <v>1</v>
          </cell>
          <cell r="K12">
            <v>1.2</v>
          </cell>
          <cell r="L12">
            <v>1</v>
          </cell>
          <cell r="M12">
            <v>1.2</v>
          </cell>
          <cell r="N12">
            <v>1</v>
          </cell>
          <cell r="O12">
            <v>0.955</v>
          </cell>
          <cell r="P12">
            <v>0.955</v>
          </cell>
          <cell r="Q12">
            <v>0.955</v>
          </cell>
        </row>
        <row r="13">
          <cell r="I13">
            <v>2.44</v>
          </cell>
          <cell r="J13">
            <v>2</v>
          </cell>
          <cell r="K13">
            <v>2.44</v>
          </cell>
          <cell r="L13">
            <v>2</v>
          </cell>
          <cell r="M13">
            <v>2.44</v>
          </cell>
          <cell r="N13">
            <v>2</v>
          </cell>
          <cell r="O13">
            <v>1.6</v>
          </cell>
          <cell r="P13">
            <v>1.6</v>
          </cell>
          <cell r="Q13">
            <v>1.6</v>
          </cell>
        </row>
        <row r="14">
          <cell r="I14">
            <v>1.125</v>
          </cell>
          <cell r="J14">
            <v>0.9</v>
          </cell>
          <cell r="K14">
            <v>1.125</v>
          </cell>
          <cell r="L14">
            <v>0.9</v>
          </cell>
          <cell r="M14">
            <v>1.125</v>
          </cell>
          <cell r="N14">
            <v>0.9</v>
          </cell>
          <cell r="O14">
            <v>0.83</v>
          </cell>
          <cell r="P14">
            <v>0.83</v>
          </cell>
          <cell r="Q14">
            <v>0.83</v>
          </cell>
        </row>
        <row r="15">
          <cell r="I15">
            <v>1275.72</v>
          </cell>
          <cell r="J15">
            <v>1145.16</v>
          </cell>
          <cell r="K15">
            <v>1275.72</v>
          </cell>
          <cell r="L15">
            <v>1145.16</v>
          </cell>
          <cell r="M15">
            <v>1275.72</v>
          </cell>
          <cell r="N15">
            <v>1145.16</v>
          </cell>
        </row>
        <row r="16">
          <cell r="F16">
            <v>111</v>
          </cell>
          <cell r="G16">
            <v>111</v>
          </cell>
          <cell r="H16">
            <v>42</v>
          </cell>
          <cell r="I16">
            <v>30</v>
          </cell>
          <cell r="J16">
            <v>30</v>
          </cell>
          <cell r="K16">
            <v>20</v>
          </cell>
          <cell r="L16">
            <v>20</v>
          </cell>
          <cell r="M16">
            <v>16</v>
          </cell>
          <cell r="N16">
            <v>16</v>
          </cell>
        </row>
        <row r="17">
          <cell r="F17">
            <v>11</v>
          </cell>
          <cell r="G17">
            <v>11</v>
          </cell>
          <cell r="H17">
            <v>4</v>
          </cell>
          <cell r="I17">
            <v>3</v>
          </cell>
          <cell r="J17">
            <v>3</v>
          </cell>
          <cell r="K17">
            <v>2</v>
          </cell>
          <cell r="L17">
            <v>2</v>
          </cell>
          <cell r="M17">
            <v>3</v>
          </cell>
          <cell r="N17">
            <v>3</v>
          </cell>
        </row>
        <row r="20">
          <cell r="N20">
            <v>10468.75</v>
          </cell>
        </row>
        <row r="82">
          <cell r="F82">
            <v>0.222</v>
          </cell>
          <cell r="G82">
            <v>0.222</v>
          </cell>
          <cell r="H82">
            <v>0.168</v>
          </cell>
          <cell r="I82">
            <v>0.03</v>
          </cell>
          <cell r="J82">
            <v>0.03</v>
          </cell>
          <cell r="K82">
            <v>0.04</v>
          </cell>
          <cell r="L82">
            <v>0.04</v>
          </cell>
          <cell r="M82">
            <v>0.112</v>
          </cell>
          <cell r="N82">
            <v>0.112</v>
          </cell>
        </row>
        <row r="84">
          <cell r="N84">
            <v>110.56</v>
          </cell>
        </row>
        <row r="89">
          <cell r="F89">
            <v>3</v>
          </cell>
        </row>
        <row r="90">
          <cell r="F90">
            <v>1</v>
          </cell>
        </row>
        <row r="91">
          <cell r="F91">
            <v>0.333</v>
          </cell>
          <cell r="G91">
            <v>0.333</v>
          </cell>
          <cell r="H91">
            <v>0.252</v>
          </cell>
          <cell r="I91">
            <v>0.045</v>
          </cell>
          <cell r="J91">
            <v>0.045</v>
          </cell>
          <cell r="K91">
            <v>0.06</v>
          </cell>
          <cell r="L91">
            <v>0.06</v>
          </cell>
          <cell r="M91">
            <v>0.668</v>
          </cell>
          <cell r="N91">
            <v>0.668</v>
          </cell>
        </row>
        <row r="93">
          <cell r="N93">
            <v>2056.27</v>
          </cell>
        </row>
        <row r="115">
          <cell r="I115">
            <v>0.12</v>
          </cell>
          <cell r="J115">
            <v>0.12</v>
          </cell>
          <cell r="K115">
            <v>0.08</v>
          </cell>
          <cell r="L115">
            <v>0.08</v>
          </cell>
          <cell r="M115">
            <v>3.848</v>
          </cell>
          <cell r="N115">
            <v>3.848</v>
          </cell>
        </row>
        <row r="116">
          <cell r="F116">
            <v>56.32</v>
          </cell>
          <cell r="G116">
            <v>56.32</v>
          </cell>
          <cell r="H116">
            <v>21.5</v>
          </cell>
        </row>
        <row r="116">
          <cell r="N116">
            <v>492.54</v>
          </cell>
        </row>
        <row r="117">
          <cell r="F117">
            <v>1.1875</v>
          </cell>
          <cell r="G117">
            <v>1.1875</v>
          </cell>
          <cell r="H117">
            <v>1.501</v>
          </cell>
          <cell r="I117">
            <v>0.323</v>
          </cell>
          <cell r="J117">
            <v>0.323</v>
          </cell>
          <cell r="K117">
            <v>0.7125</v>
          </cell>
          <cell r="L117">
            <v>0.7125</v>
          </cell>
          <cell r="M117">
            <v>11.59</v>
          </cell>
          <cell r="N117">
            <v>11.59</v>
          </cell>
        </row>
        <row r="118">
          <cell r="N118">
            <v>1483.52</v>
          </cell>
        </row>
        <row r="119">
          <cell r="F119">
            <v>0.39</v>
          </cell>
          <cell r="G119">
            <v>0.39</v>
          </cell>
          <cell r="H119">
            <v>0.15</v>
          </cell>
          <cell r="I119">
            <v>0.11</v>
          </cell>
          <cell r="J119">
            <v>0.11</v>
          </cell>
          <cell r="K119">
            <v>0.07</v>
          </cell>
          <cell r="L119">
            <v>0.07</v>
          </cell>
          <cell r="M119">
            <v>3.41</v>
          </cell>
          <cell r="N119">
            <v>3.41</v>
          </cell>
        </row>
        <row r="120">
          <cell r="N120">
            <v>436.48</v>
          </cell>
        </row>
        <row r="121">
          <cell r="F121">
            <v>0.74</v>
          </cell>
          <cell r="G121">
            <v>0.74</v>
          </cell>
          <cell r="H121">
            <v>0.28</v>
          </cell>
          <cell r="I121">
            <v>0.2</v>
          </cell>
          <cell r="J121">
            <v>0.2</v>
          </cell>
          <cell r="K121">
            <v>0.13</v>
          </cell>
          <cell r="L121">
            <v>0.13</v>
          </cell>
          <cell r="M121">
            <v>6.47</v>
          </cell>
          <cell r="N121">
            <v>6.47</v>
          </cell>
        </row>
        <row r="122">
          <cell r="N122">
            <v>828.16</v>
          </cell>
        </row>
        <row r="123">
          <cell r="F123">
            <v>1.807</v>
          </cell>
          <cell r="G123">
            <v>1.807</v>
          </cell>
          <cell r="H123">
            <v>2.1</v>
          </cell>
          <cell r="I123">
            <v>0.4875</v>
          </cell>
          <cell r="J123">
            <v>0.4875</v>
          </cell>
          <cell r="K123">
            <v>1</v>
          </cell>
          <cell r="L123">
            <v>1</v>
          </cell>
          <cell r="M123">
            <v>16.83</v>
          </cell>
          <cell r="N123">
            <v>16.83</v>
          </cell>
        </row>
        <row r="124">
          <cell r="N124">
            <v>2154.24</v>
          </cell>
        </row>
        <row r="125">
          <cell r="F125">
            <v>0.18</v>
          </cell>
          <cell r="G125">
            <v>0.18</v>
          </cell>
          <cell r="H125">
            <v>0.21</v>
          </cell>
          <cell r="I125">
            <v>0.05</v>
          </cell>
          <cell r="J125">
            <v>0.05</v>
          </cell>
          <cell r="K125">
            <v>0.1</v>
          </cell>
          <cell r="L125">
            <v>0.1</v>
          </cell>
          <cell r="M125">
            <v>1.68</v>
          </cell>
          <cell r="N125">
            <v>1.68</v>
          </cell>
        </row>
        <row r="126">
          <cell r="N126">
            <v>215.04</v>
          </cell>
        </row>
        <row r="127">
          <cell r="F127">
            <v>5.55</v>
          </cell>
          <cell r="G127">
            <v>5.55</v>
          </cell>
          <cell r="H127">
            <v>2.1</v>
          </cell>
          <cell r="I127">
            <v>0.9</v>
          </cell>
          <cell r="J127">
            <v>0.9</v>
          </cell>
          <cell r="K127">
            <v>0.6</v>
          </cell>
          <cell r="L127">
            <v>0.6</v>
          </cell>
          <cell r="M127">
            <v>29.1</v>
          </cell>
          <cell r="N127">
            <v>29.1</v>
          </cell>
        </row>
        <row r="128">
          <cell r="N128">
            <v>3724.8</v>
          </cell>
        </row>
        <row r="135">
          <cell r="F135">
            <v>2.22</v>
          </cell>
          <cell r="G135">
            <v>2.22</v>
          </cell>
          <cell r="H135">
            <v>0.84</v>
          </cell>
          <cell r="I135">
            <v>0.6</v>
          </cell>
          <cell r="J135">
            <v>0.6</v>
          </cell>
          <cell r="K135">
            <v>0.4</v>
          </cell>
          <cell r="L135">
            <v>0.4</v>
          </cell>
          <cell r="M135">
            <v>19.4</v>
          </cell>
          <cell r="N135">
            <v>19.4</v>
          </cell>
        </row>
        <row r="136">
          <cell r="N136">
            <v>2483.2</v>
          </cell>
        </row>
        <row r="137">
          <cell r="F137">
            <v>1.17</v>
          </cell>
          <cell r="G137">
            <v>1.17</v>
          </cell>
          <cell r="H137">
            <v>0.45</v>
          </cell>
          <cell r="I137">
            <v>0.33</v>
          </cell>
          <cell r="J137">
            <v>0.33</v>
          </cell>
          <cell r="K137">
            <v>0.21</v>
          </cell>
          <cell r="L137">
            <v>0.21</v>
          </cell>
          <cell r="M137">
            <v>10.23</v>
          </cell>
          <cell r="N137">
            <v>10.23</v>
          </cell>
        </row>
        <row r="138">
          <cell r="N138">
            <v>1309.44</v>
          </cell>
        </row>
        <row r="139">
          <cell r="I139">
            <v>1.965</v>
          </cell>
          <cell r="J139">
            <v>1.965</v>
          </cell>
          <cell r="K139">
            <v>1.965</v>
          </cell>
          <cell r="L139">
            <v>1.965</v>
          </cell>
          <cell r="M139">
            <v>1.965</v>
          </cell>
          <cell r="N139">
            <v>1.965</v>
          </cell>
          <cell r="O139">
            <v>1.6</v>
          </cell>
          <cell r="P139">
            <v>1.6</v>
          </cell>
          <cell r="Q139">
            <v>1.6</v>
          </cell>
        </row>
        <row r="140">
          <cell r="N140">
            <v>251.52</v>
          </cell>
          <cell r="O140">
            <v>204.8</v>
          </cell>
        </row>
        <row r="141">
          <cell r="F141">
            <v>0.7</v>
          </cell>
          <cell r="G141">
            <v>0.7</v>
          </cell>
          <cell r="H141">
            <v>0.26</v>
          </cell>
          <cell r="I141">
            <v>0.19</v>
          </cell>
          <cell r="J141">
            <v>0.19</v>
          </cell>
          <cell r="K141">
            <v>0.13</v>
          </cell>
          <cell r="L141">
            <v>0.13</v>
          </cell>
          <cell r="M141">
            <v>6.12</v>
          </cell>
          <cell r="N141">
            <v>6.12</v>
          </cell>
        </row>
        <row r="142">
          <cell r="N142">
            <v>783.36</v>
          </cell>
        </row>
        <row r="143">
          <cell r="F143">
            <v>0.25</v>
          </cell>
          <cell r="G143">
            <v>0.25</v>
          </cell>
          <cell r="H143">
            <v>0.25</v>
          </cell>
          <cell r="I143">
            <v>0.25</v>
          </cell>
          <cell r="J143">
            <v>0.25</v>
          </cell>
          <cell r="K143">
            <v>0.25</v>
          </cell>
          <cell r="L143">
            <v>0.25</v>
          </cell>
          <cell r="M143">
            <v>0.25</v>
          </cell>
          <cell r="N143">
            <v>0.25</v>
          </cell>
          <cell r="O143">
            <v>0.25</v>
          </cell>
          <cell r="P143">
            <v>0.25</v>
          </cell>
          <cell r="Q143">
            <v>0.25</v>
          </cell>
        </row>
        <row r="144">
          <cell r="N144">
            <v>32</v>
          </cell>
        </row>
        <row r="156">
          <cell r="F156">
            <v>6.66</v>
          </cell>
          <cell r="G156">
            <v>6.66</v>
          </cell>
          <cell r="H156">
            <v>2.52</v>
          </cell>
          <cell r="I156">
            <v>1.8</v>
          </cell>
          <cell r="J156">
            <v>1.8</v>
          </cell>
          <cell r="K156">
            <v>1.2</v>
          </cell>
          <cell r="L156">
            <v>1.2</v>
          </cell>
          <cell r="M156">
            <v>15.27</v>
          </cell>
          <cell r="N156">
            <v>15.27</v>
          </cell>
        </row>
        <row r="158">
          <cell r="N158">
            <v>355.79</v>
          </cell>
        </row>
        <row r="159">
          <cell r="H159">
            <v>126</v>
          </cell>
        </row>
        <row r="159">
          <cell r="K159">
            <v>60</v>
          </cell>
          <cell r="L159">
            <v>60</v>
          </cell>
          <cell r="M159">
            <v>48</v>
          </cell>
          <cell r="N159">
            <v>48</v>
          </cell>
        </row>
        <row r="161">
          <cell r="N161">
            <v>480</v>
          </cell>
        </row>
      </sheetData>
      <sheetData sheetId="11" refreshError="1"/>
      <sheetData sheetId="12" refreshError="1"/>
      <sheetData sheetId="13" refreshError="1"/>
      <sheetData sheetId="14" refreshError="1">
        <row r="8">
          <cell r="B8" t="str">
            <v>ZL01-1</v>
          </cell>
        </row>
        <row r="8">
          <cell r="D8">
            <v>13.5</v>
          </cell>
        </row>
        <row r="9">
          <cell r="D9">
            <v>62.71</v>
          </cell>
        </row>
        <row r="10">
          <cell r="D10">
            <v>0.45</v>
          </cell>
        </row>
        <row r="12">
          <cell r="D12">
            <v>1326.2</v>
          </cell>
        </row>
        <row r="13">
          <cell r="D13">
            <v>2052.76</v>
          </cell>
        </row>
        <row r="14">
          <cell r="D14">
            <v>59.45</v>
          </cell>
        </row>
        <row r="15">
          <cell r="D15">
            <v>111.11</v>
          </cell>
        </row>
        <row r="16">
          <cell r="D16">
            <v>224.18</v>
          </cell>
        </row>
        <row r="17">
          <cell r="D17">
            <v>0</v>
          </cell>
        </row>
        <row r="19">
          <cell r="D19">
            <v>963.67</v>
          </cell>
        </row>
        <row r="20">
          <cell r="D20">
            <v>193.55</v>
          </cell>
        </row>
        <row r="21">
          <cell r="D21">
            <v>8.33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showZeros="0" workbookViewId="0">
      <selection activeCell="I7" sqref="I7"/>
    </sheetView>
  </sheetViews>
  <sheetFormatPr defaultColWidth="8.88888888888889" defaultRowHeight="14.4" outlineLevelCol="7"/>
  <cols>
    <col min="1" max="1" width="10.5555555555556" style="1" customWidth="1"/>
    <col min="2" max="2" width="17.5555555555556" style="1" customWidth="1"/>
    <col min="3" max="4" width="20.1111111111111" style="1" customWidth="1"/>
    <col min="5" max="5" width="16.3333333333333" style="1" customWidth="1"/>
    <col min="6" max="6" width="24.6666666666667" style="1" customWidth="1"/>
    <col min="7" max="7" width="20.1111111111111" style="1" customWidth="1"/>
    <col min="8" max="8" width="8.88888888888889" style="1"/>
    <col min="9" max="9" width="12.8888888888889" style="1"/>
    <col min="10" max="16384" width="8.88888888888889" style="1"/>
  </cols>
  <sheetData>
    <row r="1" ht="39.6" customHeight="1" spans="1:7">
      <c r="A1" s="170" t="s">
        <v>0</v>
      </c>
      <c r="B1" s="171" t="s">
        <v>1</v>
      </c>
      <c r="C1" s="171" t="s">
        <v>0</v>
      </c>
      <c r="D1" s="171" t="s">
        <v>0</v>
      </c>
      <c r="E1" s="171" t="s">
        <v>0</v>
      </c>
      <c r="F1" s="171" t="s">
        <v>0</v>
      </c>
      <c r="G1" s="172" t="s">
        <v>2</v>
      </c>
    </row>
    <row r="2" ht="46.2" customHeight="1" spans="1:7">
      <c r="A2" s="173" t="s">
        <v>3</v>
      </c>
      <c r="B2" s="173" t="s">
        <v>0</v>
      </c>
      <c r="C2" s="173" t="s">
        <v>0</v>
      </c>
      <c r="D2" s="173" t="s">
        <v>0</v>
      </c>
      <c r="E2" s="173" t="s">
        <v>0</v>
      </c>
      <c r="F2" s="173" t="s">
        <v>0</v>
      </c>
      <c r="G2" s="173" t="s">
        <v>0</v>
      </c>
    </row>
    <row r="3" ht="30" customHeight="1" spans="1:8">
      <c r="A3" s="174" t="s">
        <v>4</v>
      </c>
      <c r="B3" s="174" t="s">
        <v>0</v>
      </c>
      <c r="C3" s="174" t="s">
        <v>0</v>
      </c>
      <c r="D3" s="175">
        <f>'C1 工程项目预算总价表 (2)'!O8</f>
        <v>5356540.54443</v>
      </c>
      <c r="E3" s="175" t="s">
        <v>0</v>
      </c>
      <c r="F3" s="175" t="s">
        <v>0</v>
      </c>
      <c r="G3" s="175" t="s">
        <v>0</v>
      </c>
      <c r="H3" s="50"/>
    </row>
    <row r="4" ht="30" customHeight="1" spans="1:7">
      <c r="A4" s="174" t="s">
        <v>5</v>
      </c>
      <c r="B4" s="174" t="s">
        <v>0</v>
      </c>
      <c r="C4" s="174" t="s">
        <v>0</v>
      </c>
      <c r="D4" s="176" t="s">
        <v>6</v>
      </c>
      <c r="E4" s="176" t="s">
        <v>0</v>
      </c>
      <c r="F4" s="176" t="s">
        <v>0</v>
      </c>
      <c r="G4" s="176" t="s">
        <v>0</v>
      </c>
    </row>
    <row r="5" ht="30" customHeight="1" spans="1:7">
      <c r="A5" s="174" t="s">
        <v>0</v>
      </c>
      <c r="B5" s="174" t="s">
        <v>0</v>
      </c>
      <c r="C5" s="174" t="s">
        <v>0</v>
      </c>
      <c r="D5" s="176" t="s">
        <v>0</v>
      </c>
      <c r="E5" s="176" t="s">
        <v>0</v>
      </c>
      <c r="F5" s="176" t="s">
        <v>0</v>
      </c>
      <c r="G5" s="176" t="s">
        <v>0</v>
      </c>
    </row>
    <row r="6" ht="40.05" customHeight="1" spans="1:7">
      <c r="A6" s="174" t="s">
        <v>7</v>
      </c>
      <c r="B6" s="174" t="s">
        <v>0</v>
      </c>
      <c r="C6" s="177" t="s">
        <v>8</v>
      </c>
      <c r="D6" s="177" t="s">
        <v>0</v>
      </c>
      <c r="E6" s="174" t="s">
        <v>9</v>
      </c>
      <c r="F6" s="177"/>
      <c r="G6" s="177" t="s">
        <v>0</v>
      </c>
    </row>
    <row r="7" ht="40.05" customHeight="1" spans="1:7">
      <c r="A7" s="174" t="s">
        <v>0</v>
      </c>
      <c r="B7" s="174" t="s">
        <v>0</v>
      </c>
      <c r="C7" s="178" t="s">
        <v>10</v>
      </c>
      <c r="D7" s="178" t="s">
        <v>0</v>
      </c>
      <c r="E7" s="179" t="s">
        <v>0</v>
      </c>
      <c r="F7" s="178" t="s">
        <v>10</v>
      </c>
      <c r="G7" s="178" t="s">
        <v>0</v>
      </c>
    </row>
    <row r="8" ht="49.8" customHeight="1" spans="1:7">
      <c r="A8" s="174" t="s">
        <v>11</v>
      </c>
      <c r="B8" s="174" t="s">
        <v>0</v>
      </c>
      <c r="C8" s="177" t="s">
        <v>8</v>
      </c>
      <c r="D8" s="177" t="s">
        <v>0</v>
      </c>
      <c r="E8" s="174" t="s">
        <v>11</v>
      </c>
      <c r="F8" s="180"/>
      <c r="G8" s="180"/>
    </row>
    <row r="9" ht="40.05" customHeight="1" spans="1:7">
      <c r="A9" s="174" t="s">
        <v>12</v>
      </c>
      <c r="B9" s="174" t="s">
        <v>0</v>
      </c>
      <c r="C9" s="178" t="s">
        <v>13</v>
      </c>
      <c r="D9" s="178" t="s">
        <v>0</v>
      </c>
      <c r="E9" s="179" t="s">
        <v>0</v>
      </c>
      <c r="F9" s="178" t="s">
        <v>13</v>
      </c>
      <c r="G9" s="178" t="s">
        <v>0</v>
      </c>
    </row>
    <row r="10" ht="40.05" customHeight="1" spans="1:7">
      <c r="A10" s="174" t="s">
        <v>14</v>
      </c>
      <c r="B10" s="174" t="s">
        <v>0</v>
      </c>
      <c r="C10" s="177" t="s">
        <v>8</v>
      </c>
      <c r="D10" s="177" t="s">
        <v>0</v>
      </c>
      <c r="E10" s="174" t="s">
        <v>15</v>
      </c>
      <c r="F10" s="177" t="s">
        <v>8</v>
      </c>
      <c r="G10" s="177" t="s">
        <v>0</v>
      </c>
    </row>
    <row r="11" ht="40.05" customHeight="1" spans="1:7">
      <c r="A11" s="174" t="s">
        <v>0</v>
      </c>
      <c r="B11" s="174" t="s">
        <v>0</v>
      </c>
      <c r="C11" s="178" t="s">
        <v>16</v>
      </c>
      <c r="D11" s="178" t="s">
        <v>0</v>
      </c>
      <c r="E11" s="179" t="s">
        <v>0</v>
      </c>
      <c r="F11" s="178" t="s">
        <v>17</v>
      </c>
      <c r="G11" s="178" t="s">
        <v>0</v>
      </c>
    </row>
    <row r="12" ht="48.6" customHeight="1" spans="1:7">
      <c r="A12" s="174" t="s">
        <v>18</v>
      </c>
      <c r="B12" s="174" t="s">
        <v>0</v>
      </c>
      <c r="C12" s="181"/>
      <c r="D12" s="182" t="s">
        <v>0</v>
      </c>
      <c r="E12" s="174" t="s">
        <v>19</v>
      </c>
      <c r="F12" s="181"/>
      <c r="G12" s="182" t="s">
        <v>0</v>
      </c>
    </row>
    <row r="13" ht="15.6" spans="1:7">
      <c r="A13" s="183" t="s">
        <v>20</v>
      </c>
      <c r="B13" s="183" t="s">
        <v>0</v>
      </c>
      <c r="C13" s="183" t="s">
        <v>0</v>
      </c>
      <c r="D13" s="183" t="s">
        <v>0</v>
      </c>
      <c r="E13" s="183" t="s">
        <v>0</v>
      </c>
      <c r="F13" s="183" t="s">
        <v>0</v>
      </c>
      <c r="G13" s="183" t="s">
        <v>0</v>
      </c>
    </row>
  </sheetData>
  <mergeCells count="28">
    <mergeCell ref="B1:F1"/>
    <mergeCell ref="A2:G2"/>
    <mergeCell ref="A3:C3"/>
    <mergeCell ref="D3:G3"/>
    <mergeCell ref="A6:B6"/>
    <mergeCell ref="C6:D6"/>
    <mergeCell ref="F6:G6"/>
    <mergeCell ref="A7:B7"/>
    <mergeCell ref="C7:D7"/>
    <mergeCell ref="F7:G7"/>
    <mergeCell ref="A8:B8"/>
    <mergeCell ref="C8:D8"/>
    <mergeCell ref="F8:G8"/>
    <mergeCell ref="A9:B9"/>
    <mergeCell ref="C9:D9"/>
    <mergeCell ref="F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G13"/>
    <mergeCell ref="A4:C5"/>
    <mergeCell ref="D4:G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35"/>
  <sheetViews>
    <sheetView showZeros="0" topLeftCell="A30" workbookViewId="0">
      <selection activeCell="H28" sqref="H28"/>
    </sheetView>
  </sheetViews>
  <sheetFormatPr defaultColWidth="8.88888888888889" defaultRowHeight="40.05" customHeight="1" outlineLevelCol="6"/>
  <cols>
    <col min="1" max="1" width="8.88888888888889" style="52"/>
    <col min="2" max="2" width="20.4444444444444" style="52" customWidth="1"/>
    <col min="3" max="3" width="60" style="52" customWidth="1"/>
    <col min="4" max="6" width="14.212962962963" style="52" customWidth="1"/>
    <col min="7" max="16384" width="8.88888888888889" style="52"/>
  </cols>
  <sheetData>
    <row r="1" customHeight="1" spans="1:6">
      <c r="A1" s="14" t="s">
        <v>274</v>
      </c>
      <c r="B1" s="14"/>
      <c r="C1" s="14"/>
      <c r="D1" s="14"/>
      <c r="E1" s="14"/>
      <c r="F1" s="13" t="s">
        <v>266</v>
      </c>
    </row>
    <row r="2" customHeight="1" spans="1:6">
      <c r="A2" s="16" t="s">
        <v>22</v>
      </c>
      <c r="B2" s="17" t="s">
        <v>80</v>
      </c>
      <c r="C2" s="17"/>
      <c r="D2" s="17"/>
      <c r="E2" s="17" t="s">
        <v>81</v>
      </c>
      <c r="F2" s="17" t="s">
        <v>0</v>
      </c>
    </row>
    <row r="3" customHeight="1" spans="1:6">
      <c r="A3" s="16" t="s">
        <v>82</v>
      </c>
      <c r="B3" s="17" t="s">
        <v>133</v>
      </c>
      <c r="C3" s="17"/>
      <c r="D3" s="17"/>
      <c r="E3" s="17" t="str">
        <f>"工程数量："&amp;'[1]附表C-6营造林工程投资概算'!$D$8</f>
        <v>工程数量：13.5</v>
      </c>
      <c r="F3" s="17" t="s">
        <v>0</v>
      </c>
    </row>
    <row r="4" customHeight="1" spans="1:6">
      <c r="A4" s="16" t="s">
        <v>84</v>
      </c>
      <c r="B4" s="18" t="s">
        <v>134</v>
      </c>
      <c r="C4" s="18"/>
      <c r="D4" s="18"/>
      <c r="E4" s="16" t="s">
        <v>0</v>
      </c>
      <c r="F4" s="16" t="s">
        <v>0</v>
      </c>
    </row>
    <row r="5" customHeight="1" spans="1:6">
      <c r="A5" s="4" t="s">
        <v>28</v>
      </c>
      <c r="B5" s="4" t="s">
        <v>56</v>
      </c>
      <c r="C5" s="4" t="s">
        <v>194</v>
      </c>
      <c r="D5" s="4" t="s">
        <v>195</v>
      </c>
      <c r="E5" s="4" t="s">
        <v>275</v>
      </c>
      <c r="F5" s="4" t="s">
        <v>276</v>
      </c>
    </row>
    <row r="6" customHeight="1" spans="1:6">
      <c r="A6" s="4" t="s">
        <v>68</v>
      </c>
      <c r="B6" s="6" t="s">
        <v>277</v>
      </c>
      <c r="C6" s="4" t="s">
        <v>278</v>
      </c>
      <c r="D6" s="19">
        <f>'D3-3 分部分项工程量清单综合单价计算表(分页不带材料)~1'!F17*0.3</f>
        <v>182.248704</v>
      </c>
      <c r="E6" s="4">
        <v>4.8</v>
      </c>
      <c r="F6" s="4">
        <f>ROUND(D6*E6/100,2)</f>
        <v>8.75</v>
      </c>
    </row>
    <row r="7" customHeight="1" spans="1:7">
      <c r="A7" s="4" t="s">
        <v>71</v>
      </c>
      <c r="B7" s="6" t="s">
        <v>279</v>
      </c>
      <c r="C7" s="4" t="s">
        <v>280</v>
      </c>
      <c r="D7" s="21">
        <f>'D3-3 分部分项工程量清单综合单价计算表(分页不带材料)~1'!K17+'E.1分部分项工程总价措施项目清单计价表-ZL型'!I18+'F1.1暂列金额明细表（ZL型）'!D26+'G.1规费、税金项目清单计价表-ZL型'!F6</f>
        <v>672.98568</v>
      </c>
      <c r="E7" s="4">
        <v>3</v>
      </c>
      <c r="F7" s="4">
        <f>ROUND(D7*E7/100,2)</f>
        <v>20.19</v>
      </c>
      <c r="G7" s="52">
        <f>813.55+F6</f>
        <v>822.3</v>
      </c>
    </row>
    <row r="8" customHeight="1" spans="1:6">
      <c r="A8" s="4">
        <v>3</v>
      </c>
      <c r="B8" s="6" t="s">
        <v>281</v>
      </c>
      <c r="C8" s="4" t="s">
        <v>280</v>
      </c>
      <c r="D8" s="21">
        <f>D7</f>
        <v>672.98568</v>
      </c>
      <c r="E8" s="4"/>
      <c r="F8" s="4">
        <f>ROUND(D8*E8/100,2)</f>
        <v>0</v>
      </c>
    </row>
    <row r="9" customHeight="1" spans="1:6">
      <c r="A9" s="4" t="s">
        <v>0</v>
      </c>
      <c r="B9" s="6" t="s">
        <v>0</v>
      </c>
      <c r="C9" s="4" t="s">
        <v>0</v>
      </c>
      <c r="D9" s="9" t="s">
        <v>0</v>
      </c>
      <c r="E9" s="4" t="s">
        <v>0</v>
      </c>
      <c r="F9" s="4"/>
    </row>
    <row r="10" customHeight="1" spans="1:6">
      <c r="A10" s="4" t="s">
        <v>0</v>
      </c>
      <c r="B10" s="6" t="s">
        <v>0</v>
      </c>
      <c r="C10" s="4" t="s">
        <v>0</v>
      </c>
      <c r="D10" s="9" t="s">
        <v>0</v>
      </c>
      <c r="E10" s="4" t="s">
        <v>0</v>
      </c>
      <c r="F10" s="4"/>
    </row>
    <row r="11" customHeight="1" spans="1:6">
      <c r="A11" s="4" t="s">
        <v>106</v>
      </c>
      <c r="B11" s="4" t="s">
        <v>0</v>
      </c>
      <c r="C11" s="4" t="s">
        <v>0</v>
      </c>
      <c r="D11" s="4" t="s">
        <v>0</v>
      </c>
      <c r="E11" s="4" t="s">
        <v>0</v>
      </c>
      <c r="F11" s="9">
        <f>SUM(F6:F10)</f>
        <v>28.94</v>
      </c>
    </row>
    <row r="13" customHeight="1" spans="1:6">
      <c r="A13" s="14" t="s">
        <v>274</v>
      </c>
      <c r="B13" s="14"/>
      <c r="C13" s="14"/>
      <c r="D13" s="14"/>
      <c r="E13" s="14"/>
      <c r="F13" s="13" t="s">
        <v>271</v>
      </c>
    </row>
    <row r="14" customHeight="1" spans="1:6">
      <c r="A14" s="16" t="s">
        <v>22</v>
      </c>
      <c r="B14" s="17" t="s">
        <v>80</v>
      </c>
      <c r="C14" s="17"/>
      <c r="D14" s="17"/>
      <c r="E14" s="17" t="s">
        <v>81</v>
      </c>
      <c r="F14" s="17" t="s">
        <v>0</v>
      </c>
    </row>
    <row r="15" customHeight="1" spans="1:6">
      <c r="A15" s="16" t="s">
        <v>82</v>
      </c>
      <c r="B15" s="17" t="s">
        <v>282</v>
      </c>
      <c r="C15" s="17"/>
      <c r="D15" s="17"/>
      <c r="E15" s="17" t="str">
        <f>"工程数量："&amp;'[1]附表C-6营造林工程投资概算'!$D$9</f>
        <v>工程数量：62.71</v>
      </c>
      <c r="F15" s="17" t="s">
        <v>0</v>
      </c>
    </row>
    <row r="16" customHeight="1" spans="1:6">
      <c r="A16" s="16" t="s">
        <v>84</v>
      </c>
      <c r="B16" s="18" t="s">
        <v>283</v>
      </c>
      <c r="C16" s="18"/>
      <c r="D16" s="18"/>
      <c r="E16" s="16" t="s">
        <v>0</v>
      </c>
      <c r="F16" s="16" t="s">
        <v>0</v>
      </c>
    </row>
    <row r="17" customHeight="1" spans="1:6">
      <c r="A17" s="4" t="s">
        <v>28</v>
      </c>
      <c r="B17" s="4" t="s">
        <v>56</v>
      </c>
      <c r="C17" s="4" t="s">
        <v>194</v>
      </c>
      <c r="D17" s="4" t="s">
        <v>195</v>
      </c>
      <c r="E17" s="4" t="s">
        <v>275</v>
      </c>
      <c r="F17" s="4" t="s">
        <v>276</v>
      </c>
    </row>
    <row r="18" customHeight="1" spans="1:6">
      <c r="A18" s="4" t="s">
        <v>68</v>
      </c>
      <c r="B18" s="6" t="s">
        <v>277</v>
      </c>
      <c r="C18" s="4" t="s">
        <v>278</v>
      </c>
      <c r="D18" s="19">
        <f>'D3-3 分部分项工程量清单综合单价计算表(分页不带材料)~1'!F36*0.3</f>
        <v>846.579651</v>
      </c>
      <c r="E18" s="4">
        <v>4.8</v>
      </c>
      <c r="F18" s="4">
        <f>ROUND(D18*E18/100,2)</f>
        <v>40.64</v>
      </c>
    </row>
    <row r="19" customHeight="1" spans="1:7">
      <c r="A19" s="4" t="s">
        <v>71</v>
      </c>
      <c r="B19" s="6" t="s">
        <v>279</v>
      </c>
      <c r="C19" s="4" t="s">
        <v>280</v>
      </c>
      <c r="D19" s="21">
        <f>'D3-3 分部分项工程量清单综合单价计算表(分页不带材料)~1'!K36+'E.1分部分项工程总价措施项目清单计价表-ZL型'!I38+'F1.1暂列金额明细表（ZL型）'!D55+'G.1规费、税金项目清单计价表-ZL型'!F18</f>
        <v>3126.15217</v>
      </c>
      <c r="E19" s="4">
        <v>3</v>
      </c>
      <c r="F19" s="4">
        <f>ROUND(D19*E19/100,2)</f>
        <v>93.78</v>
      </c>
      <c r="G19" s="52">
        <f>3779.06+F18</f>
        <v>3819.7</v>
      </c>
    </row>
    <row r="20" customHeight="1" spans="1:6">
      <c r="A20" s="4">
        <v>3</v>
      </c>
      <c r="B20" s="6" t="s">
        <v>281</v>
      </c>
      <c r="C20" s="4" t="s">
        <v>280</v>
      </c>
      <c r="D20" s="21">
        <f>D19</f>
        <v>3126.15217</v>
      </c>
      <c r="E20" s="4">
        <v>0</v>
      </c>
      <c r="F20" s="4">
        <f>ROUND(D20*E20/100,2)</f>
        <v>0</v>
      </c>
    </row>
    <row r="21" customHeight="1" spans="1:6">
      <c r="A21" s="4" t="s">
        <v>0</v>
      </c>
      <c r="B21" s="6" t="s">
        <v>0</v>
      </c>
      <c r="C21" s="4" t="s">
        <v>0</v>
      </c>
      <c r="D21" s="9" t="s">
        <v>0</v>
      </c>
      <c r="E21" s="4" t="s">
        <v>0</v>
      </c>
      <c r="F21" s="4"/>
    </row>
    <row r="22" customHeight="1" spans="1:6">
      <c r="A22" s="4" t="s">
        <v>0</v>
      </c>
      <c r="B22" s="6" t="s">
        <v>0</v>
      </c>
      <c r="C22" s="4" t="s">
        <v>0</v>
      </c>
      <c r="D22" s="9" t="s">
        <v>0</v>
      </c>
      <c r="E22" s="4" t="s">
        <v>0</v>
      </c>
      <c r="F22" s="4"/>
    </row>
    <row r="23" customHeight="1" spans="1:6">
      <c r="A23" s="4" t="s">
        <v>106</v>
      </c>
      <c r="B23" s="4" t="s">
        <v>0</v>
      </c>
      <c r="C23" s="4" t="s">
        <v>0</v>
      </c>
      <c r="D23" s="4" t="s">
        <v>0</v>
      </c>
      <c r="E23" s="4" t="s">
        <v>0</v>
      </c>
      <c r="F23" s="9">
        <f>SUM(F18:F22)</f>
        <v>134.42</v>
      </c>
    </row>
    <row r="25" customHeight="1" spans="1:6">
      <c r="A25" s="14" t="s">
        <v>274</v>
      </c>
      <c r="B25" s="14"/>
      <c r="C25" s="14"/>
      <c r="D25" s="14"/>
      <c r="E25" s="14"/>
      <c r="F25" s="13" t="s">
        <v>284</v>
      </c>
    </row>
    <row r="26" customHeight="1" spans="1:6">
      <c r="A26" s="16" t="s">
        <v>22</v>
      </c>
      <c r="B26" s="17" t="s">
        <v>80</v>
      </c>
      <c r="C26" s="17"/>
      <c r="D26" s="17"/>
      <c r="E26" s="17" t="s">
        <v>81</v>
      </c>
      <c r="F26" s="17" t="s">
        <v>0</v>
      </c>
    </row>
    <row r="27" customHeight="1" spans="1:6">
      <c r="A27" s="16" t="s">
        <v>82</v>
      </c>
      <c r="B27" s="17" t="s">
        <v>285</v>
      </c>
      <c r="C27" s="17"/>
      <c r="D27" s="17"/>
      <c r="E27" s="17" t="str">
        <f>"工程数量："&amp;'[1]附表C-6营造林工程投资概算'!$D$10</f>
        <v>工程数量：0.45</v>
      </c>
      <c r="F27" s="17" t="s">
        <v>0</v>
      </c>
    </row>
    <row r="28" customHeight="1" spans="1:6">
      <c r="A28" s="16" t="s">
        <v>84</v>
      </c>
      <c r="B28" s="18" t="s">
        <v>286</v>
      </c>
      <c r="C28" s="18"/>
      <c r="D28" s="18"/>
      <c r="E28" s="16" t="s">
        <v>0</v>
      </c>
      <c r="F28" s="16" t="s">
        <v>0</v>
      </c>
    </row>
    <row r="29" customHeight="1" spans="1:6">
      <c r="A29" s="4" t="s">
        <v>28</v>
      </c>
      <c r="B29" s="4" t="s">
        <v>56</v>
      </c>
      <c r="C29" s="4" t="s">
        <v>194</v>
      </c>
      <c r="D29" s="4" t="s">
        <v>195</v>
      </c>
      <c r="E29" s="4" t="s">
        <v>275</v>
      </c>
      <c r="F29" s="4" t="s">
        <v>276</v>
      </c>
    </row>
    <row r="30" customHeight="1" spans="1:6">
      <c r="A30" s="4" t="s">
        <v>68</v>
      </c>
      <c r="B30" s="6" t="s">
        <v>277</v>
      </c>
      <c r="C30" s="4" t="s">
        <v>278</v>
      </c>
      <c r="D30" s="19">
        <f>'D3-3 分部分项工程量清单综合单价计算表(分页不带材料)~1'!F55*0.3</f>
        <v>2.320296</v>
      </c>
      <c r="E30" s="4">
        <v>4.8</v>
      </c>
      <c r="F30" s="4">
        <f>ROUND(D30*E30/100,2)</f>
        <v>0.11</v>
      </c>
    </row>
    <row r="31" customHeight="1" spans="1:7">
      <c r="A31" s="4" t="s">
        <v>71</v>
      </c>
      <c r="B31" s="6" t="s">
        <v>279</v>
      </c>
      <c r="C31" s="4" t="s">
        <v>280</v>
      </c>
      <c r="D31" s="20">
        <f>'D3-3 分部分项工程量清单综合单价计算表(分页不带材料)~1'!K55+'E.1分部分项工程总价措施项目清单计价表-ZL型'!I58+'F1.1暂列金额明细表（ZL型）'!D84+'G.1规费、税金项目清单计价表-ZL型'!F30</f>
        <v>8.56432</v>
      </c>
      <c r="E31" s="4">
        <v>3</v>
      </c>
      <c r="F31" s="4">
        <f>ROUND(D31*E31/100,2)</f>
        <v>0.26</v>
      </c>
      <c r="G31" s="52">
        <f>10.35+F30</f>
        <v>10.46</v>
      </c>
    </row>
    <row r="32" customHeight="1" spans="1:6">
      <c r="A32" s="4">
        <v>3</v>
      </c>
      <c r="B32" s="6" t="s">
        <v>281</v>
      </c>
      <c r="C32" s="4" t="s">
        <v>280</v>
      </c>
      <c r="D32" s="21">
        <f>D31</f>
        <v>8.56432</v>
      </c>
      <c r="E32" s="4">
        <v>0</v>
      </c>
      <c r="F32" s="4">
        <f>ROUND(D32*E32/100,2)</f>
        <v>0</v>
      </c>
    </row>
    <row r="33" customHeight="1" spans="1:6">
      <c r="A33" s="4" t="s">
        <v>0</v>
      </c>
      <c r="B33" s="6" t="s">
        <v>0</v>
      </c>
      <c r="C33" s="4" t="s">
        <v>0</v>
      </c>
      <c r="D33" s="9" t="s">
        <v>0</v>
      </c>
      <c r="E33" s="4" t="s">
        <v>0</v>
      </c>
      <c r="F33" s="4"/>
    </row>
    <row r="34" customHeight="1" spans="1:6">
      <c r="A34" s="4" t="s">
        <v>0</v>
      </c>
      <c r="B34" s="6" t="s">
        <v>0</v>
      </c>
      <c r="C34" s="4" t="s">
        <v>0</v>
      </c>
      <c r="D34" s="9" t="s">
        <v>0</v>
      </c>
      <c r="E34" s="4" t="s">
        <v>0</v>
      </c>
      <c r="F34" s="4"/>
    </row>
    <row r="35" customHeight="1" spans="1:6">
      <c r="A35" s="4" t="s">
        <v>106</v>
      </c>
      <c r="B35" s="4" t="s">
        <v>0</v>
      </c>
      <c r="C35" s="4" t="s">
        <v>0</v>
      </c>
      <c r="D35" s="4" t="s">
        <v>0</v>
      </c>
      <c r="E35" s="4" t="s">
        <v>0</v>
      </c>
      <c r="F35" s="9">
        <f>SUM(F30:F34)</f>
        <v>0.37</v>
      </c>
    </row>
  </sheetData>
  <mergeCells count="21">
    <mergeCell ref="A1:E1"/>
    <mergeCell ref="B2:D2"/>
    <mergeCell ref="E2:F2"/>
    <mergeCell ref="B3:D3"/>
    <mergeCell ref="E3:F3"/>
    <mergeCell ref="B4:D4"/>
    <mergeCell ref="A11:E11"/>
    <mergeCell ref="A13:E13"/>
    <mergeCell ref="B14:D14"/>
    <mergeCell ref="E14:F14"/>
    <mergeCell ref="B15:D15"/>
    <mergeCell ref="E15:F15"/>
    <mergeCell ref="B16:D16"/>
    <mergeCell ref="A23:E23"/>
    <mergeCell ref="A25:E25"/>
    <mergeCell ref="B26:D26"/>
    <mergeCell ref="E26:F26"/>
    <mergeCell ref="B27:D27"/>
    <mergeCell ref="E27:F27"/>
    <mergeCell ref="B28:D28"/>
    <mergeCell ref="A35:E3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Zeros="0" topLeftCell="A17" workbookViewId="0">
      <selection activeCell="H31" sqref="H31"/>
    </sheetView>
  </sheetViews>
  <sheetFormatPr defaultColWidth="8.88888888888889" defaultRowHeight="14.4" outlineLevelCol="5"/>
  <cols>
    <col min="1" max="1" width="6.66666666666667" style="1" customWidth="1"/>
    <col min="2" max="2" width="11" style="1" customWidth="1"/>
    <col min="3" max="3" width="27.5555555555556" style="1" customWidth="1"/>
    <col min="4" max="4" width="33.5555555555556" style="1" customWidth="1"/>
    <col min="5" max="5" width="8.88888888888889" style="1" customWidth="1"/>
    <col min="6" max="6" width="10.4444444444444" style="1" customWidth="1"/>
    <col min="7" max="16384" width="8.88888888888889" style="1"/>
  </cols>
  <sheetData>
    <row r="1" ht="26.4" customHeight="1" spans="1:6">
      <c r="A1" s="2" t="s">
        <v>287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</row>
    <row r="2" ht="41.4" customHeight="1" spans="1:6">
      <c r="A2" s="3" t="s">
        <v>54</v>
      </c>
      <c r="B2" s="3"/>
      <c r="C2" s="3"/>
      <c r="D2" s="3"/>
      <c r="E2" s="3"/>
      <c r="F2" s="3"/>
    </row>
    <row r="3" ht="35.4" customHeight="1" spans="1:6">
      <c r="A3" s="4" t="s">
        <v>28</v>
      </c>
      <c r="B3" s="4" t="s">
        <v>288</v>
      </c>
      <c r="C3" s="4" t="s">
        <v>289</v>
      </c>
      <c r="D3" s="4" t="s">
        <v>290</v>
      </c>
      <c r="E3" s="4" t="s">
        <v>57</v>
      </c>
      <c r="F3" s="4" t="s">
        <v>291</v>
      </c>
    </row>
    <row r="4" ht="19.95" customHeight="1" spans="1:6">
      <c r="A4" s="4" t="s">
        <v>68</v>
      </c>
      <c r="B4" s="4" t="s">
        <v>292</v>
      </c>
      <c r="C4" s="6" t="s">
        <v>293</v>
      </c>
      <c r="D4" s="6" t="s">
        <v>0</v>
      </c>
      <c r="E4" s="4" t="s">
        <v>137</v>
      </c>
      <c r="F4" s="21">
        <v>107.066</v>
      </c>
    </row>
    <row r="5" ht="19.95" customHeight="1" spans="1:6">
      <c r="A5" s="4" t="s">
        <v>71</v>
      </c>
      <c r="B5" s="4" t="s">
        <v>294</v>
      </c>
      <c r="C5" s="6" t="s">
        <v>171</v>
      </c>
      <c r="D5" s="6" t="s">
        <v>0</v>
      </c>
      <c r="E5" s="4" t="s">
        <v>137</v>
      </c>
      <c r="F5" s="21">
        <v>107.066</v>
      </c>
    </row>
    <row r="6" ht="19.95" customHeight="1" spans="1:6">
      <c r="A6" s="4" t="s">
        <v>73</v>
      </c>
      <c r="B6" s="4" t="s">
        <v>295</v>
      </c>
      <c r="C6" s="6" t="s">
        <v>170</v>
      </c>
      <c r="D6" s="6" t="s">
        <v>0</v>
      </c>
      <c r="E6" s="4" t="s">
        <v>296</v>
      </c>
      <c r="F6" s="21"/>
    </row>
    <row r="7" ht="19.95" customHeight="1" spans="1:6">
      <c r="A7" s="4" t="s">
        <v>94</v>
      </c>
      <c r="B7" s="4" t="s">
        <v>297</v>
      </c>
      <c r="C7" s="6" t="s">
        <v>175</v>
      </c>
      <c r="D7" s="6" t="s">
        <v>0</v>
      </c>
      <c r="E7" s="4" t="s">
        <v>298</v>
      </c>
      <c r="F7" s="21"/>
    </row>
    <row r="8" ht="19.95" customHeight="1" spans="1:6">
      <c r="A8" s="4" t="s">
        <v>96</v>
      </c>
      <c r="B8" s="4" t="s">
        <v>299</v>
      </c>
      <c r="C8" s="6" t="s">
        <v>168</v>
      </c>
      <c r="D8" s="6" t="s">
        <v>0</v>
      </c>
      <c r="E8" s="4" t="s">
        <v>142</v>
      </c>
      <c r="F8" s="21"/>
    </row>
    <row r="9" ht="19.95" customHeight="1" spans="1:6">
      <c r="A9" s="4" t="s">
        <v>98</v>
      </c>
      <c r="B9" s="4" t="s">
        <v>300</v>
      </c>
      <c r="C9" s="6" t="s">
        <v>301</v>
      </c>
      <c r="D9" s="6" t="s">
        <v>0</v>
      </c>
      <c r="E9" s="4" t="s">
        <v>137</v>
      </c>
      <c r="F9" s="21">
        <v>107.066</v>
      </c>
    </row>
    <row r="10" ht="19.95" customHeight="1" spans="1:6">
      <c r="A10" s="4" t="s">
        <v>100</v>
      </c>
      <c r="B10" s="4" t="s">
        <v>302</v>
      </c>
      <c r="C10" s="6" t="s">
        <v>173</v>
      </c>
      <c r="D10" s="6" t="s">
        <v>0</v>
      </c>
      <c r="E10" s="4" t="s">
        <v>303</v>
      </c>
      <c r="F10" s="21"/>
    </row>
    <row r="11" ht="19.95" customHeight="1" spans="1:6">
      <c r="A11" s="4" t="s">
        <v>102</v>
      </c>
      <c r="B11" s="4" t="s">
        <v>304</v>
      </c>
      <c r="C11" s="6" t="s">
        <v>155</v>
      </c>
      <c r="D11" s="6" t="s">
        <v>0</v>
      </c>
      <c r="E11" s="4" t="s">
        <v>156</v>
      </c>
      <c r="F11" s="21"/>
    </row>
    <row r="12" ht="19.95" customHeight="1" spans="1:6">
      <c r="A12" s="4" t="s">
        <v>104</v>
      </c>
      <c r="B12" s="4" t="s">
        <v>305</v>
      </c>
      <c r="C12" s="6" t="s">
        <v>165</v>
      </c>
      <c r="D12" s="6" t="s">
        <v>0</v>
      </c>
      <c r="E12" s="4" t="s">
        <v>296</v>
      </c>
      <c r="F12" s="21"/>
    </row>
    <row r="13" ht="19.95" customHeight="1" spans="1:6">
      <c r="A13" s="4" t="s">
        <v>306</v>
      </c>
      <c r="B13" s="4" t="s">
        <v>307</v>
      </c>
      <c r="C13" s="6" t="s">
        <v>136</v>
      </c>
      <c r="D13" s="6" t="s">
        <v>0</v>
      </c>
      <c r="E13" s="4" t="s">
        <v>137</v>
      </c>
      <c r="F13" s="21">
        <v>107.066</v>
      </c>
    </row>
    <row r="14" ht="19.95" customHeight="1" spans="1:6">
      <c r="A14" s="4" t="s">
        <v>146</v>
      </c>
      <c r="B14" s="4" t="s">
        <v>308</v>
      </c>
      <c r="C14" s="6" t="s">
        <v>139</v>
      </c>
      <c r="D14" s="6" t="s">
        <v>0</v>
      </c>
      <c r="E14" s="4" t="s">
        <v>137</v>
      </c>
      <c r="F14" s="21">
        <v>107.066</v>
      </c>
    </row>
    <row r="15" ht="19.95" customHeight="1" spans="1:6">
      <c r="A15" s="4" t="s">
        <v>149</v>
      </c>
      <c r="B15" s="4" t="s">
        <v>309</v>
      </c>
      <c r="C15" s="6" t="s">
        <v>143</v>
      </c>
      <c r="D15" s="6" t="s">
        <v>0</v>
      </c>
      <c r="E15" s="4" t="s">
        <v>142</v>
      </c>
      <c r="F15" s="21"/>
    </row>
    <row r="16" ht="19.95" customHeight="1" spans="1:6">
      <c r="A16" s="4" t="s">
        <v>152</v>
      </c>
      <c r="B16" s="4" t="s">
        <v>310</v>
      </c>
      <c r="C16" s="6" t="s">
        <v>144</v>
      </c>
      <c r="D16" s="6" t="s">
        <v>0</v>
      </c>
      <c r="E16" s="4" t="s">
        <v>137</v>
      </c>
      <c r="F16" s="21">
        <v>107.066</v>
      </c>
    </row>
    <row r="17" ht="19.95" customHeight="1" spans="1:6">
      <c r="A17" s="4" t="s">
        <v>154</v>
      </c>
      <c r="B17" s="4" t="s">
        <v>311</v>
      </c>
      <c r="C17" s="6" t="s">
        <v>164</v>
      </c>
      <c r="D17" s="6" t="s">
        <v>0</v>
      </c>
      <c r="E17" s="4" t="s">
        <v>142</v>
      </c>
      <c r="F17" s="21"/>
    </row>
    <row r="18" ht="19.95" customHeight="1" spans="1:6">
      <c r="A18" s="4" t="s">
        <v>157</v>
      </c>
      <c r="B18" s="4" t="s">
        <v>312</v>
      </c>
      <c r="C18" s="6" t="s">
        <v>167</v>
      </c>
      <c r="D18" s="6" t="s">
        <v>0</v>
      </c>
      <c r="E18" s="4" t="s">
        <v>137</v>
      </c>
      <c r="F18" s="21">
        <v>107.066</v>
      </c>
    </row>
    <row r="19" ht="19.95" customHeight="1" spans="1:6">
      <c r="A19" s="4" t="s">
        <v>313</v>
      </c>
      <c r="B19" s="4" t="s">
        <v>314</v>
      </c>
      <c r="C19" s="6" t="s">
        <v>169</v>
      </c>
      <c r="D19" s="6" t="s">
        <v>0</v>
      </c>
      <c r="E19" s="4" t="s">
        <v>142</v>
      </c>
      <c r="F19" s="21">
        <v>18.6167</v>
      </c>
    </row>
    <row r="20" ht="19.95" customHeight="1" spans="1:6">
      <c r="A20" s="4" t="s">
        <v>315</v>
      </c>
      <c r="B20" s="4" t="s">
        <v>316</v>
      </c>
      <c r="C20" s="6" t="s">
        <v>177</v>
      </c>
      <c r="D20" s="6" t="s">
        <v>0</v>
      </c>
      <c r="E20" s="4" t="s">
        <v>178</v>
      </c>
      <c r="F20" s="21">
        <v>1797.75</v>
      </c>
    </row>
    <row r="21" ht="19.95" customHeight="1" spans="1:6">
      <c r="A21" s="4" t="s">
        <v>317</v>
      </c>
      <c r="B21" s="4" t="s">
        <v>318</v>
      </c>
      <c r="C21" s="6" t="s">
        <v>179</v>
      </c>
      <c r="D21" s="6" t="s">
        <v>0</v>
      </c>
      <c r="E21" s="4" t="s">
        <v>180</v>
      </c>
      <c r="F21" s="21">
        <v>8.52533</v>
      </c>
    </row>
    <row r="22" ht="19.95" customHeight="1" spans="1:6">
      <c r="A22" s="4" t="s">
        <v>319</v>
      </c>
      <c r="B22" s="4" t="s">
        <v>320</v>
      </c>
      <c r="C22" s="6" t="s">
        <v>181</v>
      </c>
      <c r="D22" s="6" t="s">
        <v>0</v>
      </c>
      <c r="E22" s="4" t="s">
        <v>137</v>
      </c>
      <c r="F22" s="21">
        <v>107.066</v>
      </c>
    </row>
    <row r="23" ht="19.95" customHeight="1" spans="1:6">
      <c r="A23" s="4" t="s">
        <v>321</v>
      </c>
      <c r="B23" s="4" t="s">
        <v>322</v>
      </c>
      <c r="C23" s="6" t="s">
        <v>163</v>
      </c>
      <c r="D23" s="6" t="s">
        <v>0</v>
      </c>
      <c r="E23" s="4" t="s">
        <v>142</v>
      </c>
      <c r="F23" s="21">
        <v>2.45952175</v>
      </c>
    </row>
    <row r="24" spans="1:6">
      <c r="A24" s="4" t="s">
        <v>323</v>
      </c>
      <c r="B24" s="4" t="s">
        <v>324</v>
      </c>
      <c r="C24" s="6" t="s">
        <v>325</v>
      </c>
      <c r="D24" s="6" t="s">
        <v>326</v>
      </c>
      <c r="E24" s="4" t="s">
        <v>156</v>
      </c>
      <c r="F24" s="21">
        <v>2.397</v>
      </c>
    </row>
    <row r="25" spans="1:6">
      <c r="A25" s="4" t="s">
        <v>327</v>
      </c>
      <c r="B25" s="4" t="s">
        <v>328</v>
      </c>
      <c r="C25" s="6" t="s">
        <v>329</v>
      </c>
      <c r="D25" s="6" t="s">
        <v>326</v>
      </c>
      <c r="E25" s="4" t="s">
        <v>156</v>
      </c>
      <c r="F25" s="21">
        <v>2.397</v>
      </c>
    </row>
    <row r="26" spans="1:6">
      <c r="A26" s="4" t="s">
        <v>330</v>
      </c>
      <c r="B26" s="4" t="s">
        <v>331</v>
      </c>
      <c r="C26" s="6" t="s">
        <v>332</v>
      </c>
      <c r="D26" s="6" t="s">
        <v>326</v>
      </c>
      <c r="E26" s="4" t="s">
        <v>156</v>
      </c>
      <c r="F26" s="21">
        <v>2.397</v>
      </c>
    </row>
    <row r="27" spans="1:6">
      <c r="A27" s="4" t="s">
        <v>333</v>
      </c>
      <c r="B27" s="4" t="s">
        <v>334</v>
      </c>
      <c r="C27" s="6" t="s">
        <v>335</v>
      </c>
      <c r="D27" s="6" t="s">
        <v>326</v>
      </c>
      <c r="E27" s="4" t="s">
        <v>156</v>
      </c>
      <c r="F27" s="21">
        <v>8.789</v>
      </c>
    </row>
    <row r="28" ht="24" spans="1:6">
      <c r="A28" s="4" t="s">
        <v>336</v>
      </c>
      <c r="B28" s="4" t="s">
        <v>337</v>
      </c>
      <c r="C28" s="6" t="s">
        <v>338</v>
      </c>
      <c r="D28" s="6" t="s">
        <v>339</v>
      </c>
      <c r="E28" s="4" t="s">
        <v>156</v>
      </c>
      <c r="F28" s="21">
        <v>95.88</v>
      </c>
    </row>
    <row r="29" ht="19.95" customHeight="1" spans="1:6">
      <c r="A29" s="4" t="s">
        <v>340</v>
      </c>
      <c r="B29" s="4" t="s">
        <v>341</v>
      </c>
      <c r="C29" s="6" t="s">
        <v>342</v>
      </c>
      <c r="D29" s="6" t="s">
        <v>0</v>
      </c>
      <c r="E29" s="4" t="s">
        <v>142</v>
      </c>
      <c r="F29" s="21">
        <v>0.78872486</v>
      </c>
    </row>
    <row r="30" ht="19.95" customHeight="1" spans="1:6">
      <c r="A30" s="4" t="s">
        <v>343</v>
      </c>
      <c r="B30" s="4" t="s">
        <v>344</v>
      </c>
      <c r="C30" s="6" t="s">
        <v>345</v>
      </c>
      <c r="D30" s="6" t="s">
        <v>0</v>
      </c>
      <c r="E30" s="4" t="s">
        <v>137</v>
      </c>
      <c r="F30" s="21">
        <v>107.066</v>
      </c>
    </row>
    <row r="31" ht="19.95" customHeight="1" spans="1:6">
      <c r="A31" s="4" t="s">
        <v>346</v>
      </c>
      <c r="B31" s="4" t="s">
        <v>347</v>
      </c>
      <c r="C31" s="6" t="s">
        <v>147</v>
      </c>
      <c r="D31" s="6"/>
      <c r="E31" s="4" t="s">
        <v>148</v>
      </c>
      <c r="F31" s="21">
        <v>7.99</v>
      </c>
    </row>
    <row r="32" ht="19.95" customHeight="1" spans="1:6">
      <c r="A32" s="4" t="s">
        <v>348</v>
      </c>
      <c r="B32" s="4" t="s">
        <v>349</v>
      </c>
      <c r="C32" s="6" t="s">
        <v>350</v>
      </c>
      <c r="D32" s="6"/>
      <c r="E32" s="4" t="s">
        <v>137</v>
      </c>
      <c r="F32" s="21">
        <v>107.066</v>
      </c>
    </row>
    <row r="33" spans="1:6">
      <c r="A33" s="13"/>
      <c r="B33" s="13"/>
      <c r="C33" s="13"/>
      <c r="D33" s="13"/>
      <c r="E33" s="13"/>
      <c r="F33" s="13"/>
    </row>
  </sheetData>
  <mergeCells count="3">
    <mergeCell ref="A1:F1"/>
    <mergeCell ref="A2:F2"/>
    <mergeCell ref="A33:F33"/>
  </mergeCells>
  <pageMargins left="0.708661417322835" right="0.708661417322835" top="0.748031496062992" bottom="0.748031496062992" header="0.31496062992126" footer="0.31496062992126"/>
  <pageSetup paperSize="9" scale="9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showZeros="0" topLeftCell="A22" workbookViewId="0">
      <selection activeCell="M35" sqref="M35"/>
    </sheetView>
  </sheetViews>
  <sheetFormatPr defaultColWidth="8.88888888888889" defaultRowHeight="14.4"/>
  <cols>
    <col min="1" max="1" width="7" style="1" customWidth="1"/>
    <col min="2" max="2" width="8.88888888888889" style="1"/>
    <col min="3" max="3" width="14.8888888888889" style="1" customWidth="1"/>
    <col min="4" max="4" width="6.11111111111111" style="1" customWidth="1"/>
    <col min="5" max="5" width="9.21296296296296" style="1" customWidth="1"/>
    <col min="6" max="6" width="8.55555555555556" style="1" customWidth="1"/>
    <col min="7" max="7" width="9.55555555555556" style="1" customWidth="1"/>
    <col min="8" max="9" width="6.88888888888889" style="1" customWidth="1"/>
    <col min="10" max="10" width="7.44444444444444" style="1" customWidth="1"/>
    <col min="11" max="11" width="7.66666666666667" style="1" customWidth="1"/>
    <col min="12" max="12" width="11.4444444444444" style="1" customWidth="1"/>
    <col min="13" max="13" width="10.8888888888889" style="1" customWidth="1"/>
    <col min="14" max="15" width="6.88888888888889" style="1" customWidth="1"/>
    <col min="16" max="17" width="9.33333333333333" style="1" customWidth="1"/>
    <col min="18" max="16384" width="8.88888888888889" style="1"/>
  </cols>
  <sheetData>
    <row r="1" ht="28.2" customHeight="1" spans="1:17">
      <c r="A1" s="14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ht="34.2" customHeight="1" spans="1:15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7">
      <c r="A3" s="94" t="s">
        <v>28</v>
      </c>
      <c r="B3" s="94" t="s">
        <v>55</v>
      </c>
      <c r="C3" s="94" t="s">
        <v>56</v>
      </c>
      <c r="D3" s="94" t="s">
        <v>57</v>
      </c>
      <c r="E3" s="94" t="s">
        <v>58</v>
      </c>
      <c r="F3" s="4" t="s">
        <v>59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95"/>
      <c r="B4" s="95"/>
      <c r="C4" s="95"/>
      <c r="D4" s="95"/>
      <c r="E4" s="95"/>
      <c r="F4" s="4" t="s">
        <v>60</v>
      </c>
      <c r="G4" s="4"/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</row>
    <row r="5" spans="1:17">
      <c r="A5" s="96"/>
      <c r="B5" s="96"/>
      <c r="C5" s="96"/>
      <c r="D5" s="96"/>
      <c r="E5" s="96"/>
      <c r="F5" s="4" t="s">
        <v>62</v>
      </c>
      <c r="G5" s="4" t="s">
        <v>63</v>
      </c>
      <c r="H5" s="4" t="s">
        <v>64</v>
      </c>
      <c r="I5" s="4" t="s">
        <v>65</v>
      </c>
      <c r="J5" s="4" t="s">
        <v>66</v>
      </c>
      <c r="K5" s="4" t="s">
        <v>67</v>
      </c>
      <c r="L5" s="4" t="s">
        <v>62</v>
      </c>
      <c r="M5" s="4" t="s">
        <v>63</v>
      </c>
      <c r="N5" s="4" t="s">
        <v>64</v>
      </c>
      <c r="O5" s="4" t="s">
        <v>65</v>
      </c>
      <c r="P5" s="4" t="s">
        <v>66</v>
      </c>
      <c r="Q5" s="4" t="s">
        <v>67</v>
      </c>
    </row>
    <row r="6" ht="13.95" customHeight="1" spans="1:17">
      <c r="A6" s="4" t="s">
        <v>68</v>
      </c>
      <c r="B6" s="4" t="s">
        <v>352</v>
      </c>
      <c r="C6" s="6" t="s">
        <v>353</v>
      </c>
      <c r="D6" s="4" t="s">
        <v>70</v>
      </c>
      <c r="E6" s="9">
        <f>'[1]附表C-6营造林工程投资概算'!$D$19</f>
        <v>963.67</v>
      </c>
      <c r="F6" s="9">
        <f>ROUND(L6/$E6,2)</f>
        <v>982.49</v>
      </c>
      <c r="G6" s="9">
        <f>ROUND(M6/$E6,2)</f>
        <v>918.21</v>
      </c>
      <c r="H6" s="9"/>
      <c r="I6" s="9"/>
      <c r="J6" s="9">
        <f>ROUND(P6/$E6,2)</f>
        <v>18.36</v>
      </c>
      <c r="K6" s="9">
        <f>ROUND(Q6/$E6,2)</f>
        <v>45.91</v>
      </c>
      <c r="L6" s="21">
        <f>'D3-3 分部分项工程量清单综合单价计算表(分页不带材料)~2'!K18</f>
        <v>946791.88643</v>
      </c>
      <c r="M6" s="19">
        <f>'D3-3 分部分项工程量清单综合单价计算表(分页不带材料)~2'!F18</f>
        <v>884852.20643</v>
      </c>
      <c r="N6" s="19">
        <f>'D3-3 分部分项工程量清单综合单价计算表(分页不带材料)~2'!G18</f>
        <v>0</v>
      </c>
      <c r="O6" s="19" t="str">
        <f>'D3-3 分部分项工程量清单综合单价计算表(分页不带材料)~2'!H18</f>
        <v/>
      </c>
      <c r="P6" s="97">
        <f>'D3-3 分部分项工程量清单综合单价计算表(分页不带材料)~2'!I18</f>
        <v>17697.07</v>
      </c>
      <c r="Q6" s="97">
        <f>'D3-3 分部分项工程量清单综合单价计算表(分页不带材料)~2'!J18</f>
        <v>44242.61</v>
      </c>
    </row>
    <row r="7" ht="13.95" customHeight="1" spans="1:17">
      <c r="A7" s="4" t="s">
        <v>71</v>
      </c>
      <c r="B7" s="4" t="s">
        <v>354</v>
      </c>
      <c r="C7" s="6" t="s">
        <v>355</v>
      </c>
      <c r="D7" s="4" t="s">
        <v>70</v>
      </c>
      <c r="E7" s="9">
        <f>'[1]附表C-6营造林工程投资概算'!$D$20</f>
        <v>193.55</v>
      </c>
      <c r="F7" s="9">
        <f t="shared" ref="F7:F8" si="0">ROUND(L7/$E7,2)</f>
        <v>982.49</v>
      </c>
      <c r="G7" s="9">
        <f t="shared" ref="G7:G8" si="1">ROUND(M7/$E7,2)</f>
        <v>918.21</v>
      </c>
      <c r="H7" s="9"/>
      <c r="I7" s="9"/>
      <c r="J7" s="9">
        <f t="shared" ref="J7:J8" si="2">ROUND(P7/$E7,2)</f>
        <v>18.36</v>
      </c>
      <c r="K7" s="9">
        <f t="shared" ref="K7:K8" si="3">ROUND(Q7/$E7,2)</f>
        <v>45.91</v>
      </c>
      <c r="L7" s="21">
        <f>'D3-3 分部分项工程量清单综合单价计算表(分页不带材料)~2'!K38</f>
        <v>190160.07235</v>
      </c>
      <c r="M7" s="19">
        <f>'D3-3 分部分项工程量清单综合单价计算表(分页不带材料)~2'!F38</f>
        <v>177719.69235</v>
      </c>
      <c r="N7" s="19">
        <f>'D3-3 分部分项工程量清单综合单价计算表(分页不带材料)~2'!G38</f>
        <v>0</v>
      </c>
      <c r="O7" s="9"/>
      <c r="P7" s="97">
        <f>'D3-3 分部分项工程量清单综合单价计算表(分页不带材料)~2'!I38</f>
        <v>3554.39</v>
      </c>
      <c r="Q7" s="97">
        <f>'D3-3 分部分项工程量清单综合单价计算表(分页不带材料)~2'!J38</f>
        <v>8885.99</v>
      </c>
    </row>
    <row r="8" ht="13.95" customHeight="1" spans="1:17">
      <c r="A8" s="4" t="s">
        <v>73</v>
      </c>
      <c r="B8" s="4" t="s">
        <v>356</v>
      </c>
      <c r="C8" s="6" t="s">
        <v>357</v>
      </c>
      <c r="D8" s="4" t="s">
        <v>70</v>
      </c>
      <c r="E8" s="9">
        <f>'[1]附表C-6营造林工程投资概算'!$D$21</f>
        <v>8.33</v>
      </c>
      <c r="F8" s="9">
        <f t="shared" si="0"/>
        <v>982.48</v>
      </c>
      <c r="G8" s="9">
        <f t="shared" si="1"/>
        <v>918.21</v>
      </c>
      <c r="H8" s="9"/>
      <c r="I8" s="9"/>
      <c r="J8" s="9">
        <f t="shared" si="2"/>
        <v>18.36</v>
      </c>
      <c r="K8" s="9">
        <f t="shared" si="3"/>
        <v>45.91</v>
      </c>
      <c r="L8" s="21">
        <f>'D3-3 分部分项工程量清单综合单价计算表(分页不带材料)~2'!K58</f>
        <v>8184.07117</v>
      </c>
      <c r="M8" s="19">
        <f>'D3-3 分部分项工程量清单综合单价计算表(分页不带材料)~2'!F58</f>
        <v>7648.69117</v>
      </c>
      <c r="N8" s="19">
        <f>'D3-3 分部分项工程量清单综合单价计算表(分页不带材料)~2'!G58</f>
        <v>0</v>
      </c>
      <c r="O8" s="9"/>
      <c r="P8" s="97">
        <f>'D3-3 分部分项工程量清单综合单价计算表(分页不带材料)~2'!I58</f>
        <v>152.96</v>
      </c>
      <c r="Q8" s="97">
        <f>'D3-3 分部分项工程量清单综合单价计算表(分页不带材料)~2'!J58</f>
        <v>382.42</v>
      </c>
    </row>
    <row r="9" ht="13.95" customHeight="1" spans="1:17">
      <c r="A9" s="4"/>
      <c r="B9" s="4"/>
      <c r="C9" s="6"/>
      <c r="D9" s="4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73"/>
      <c r="Q9" s="73"/>
    </row>
    <row r="10" ht="13.95" customHeight="1" spans="1:17">
      <c r="A10" s="4"/>
      <c r="B10" s="4"/>
      <c r="C10" s="6"/>
      <c r="D10" s="4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73"/>
      <c r="Q10" s="73"/>
    </row>
    <row r="11" ht="13.95" customHeight="1" spans="1:17">
      <c r="A11" s="4"/>
      <c r="B11" s="4"/>
      <c r="C11" s="6"/>
      <c r="D11" s="4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73"/>
      <c r="Q11" s="73"/>
    </row>
    <row r="12" ht="13.95" customHeight="1" spans="1:17">
      <c r="A12" s="4"/>
      <c r="B12" s="4"/>
      <c r="C12" s="6"/>
      <c r="D12" s="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3"/>
      <c r="Q12" s="73"/>
    </row>
    <row r="13" ht="13.95" customHeight="1" spans="1:17">
      <c r="A13" s="4"/>
      <c r="B13" s="4"/>
      <c r="C13" s="6"/>
      <c r="D13" s="4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73"/>
      <c r="Q13" s="73"/>
    </row>
    <row r="14" ht="13.95" customHeight="1" spans="1:17">
      <c r="A14" s="4" t="s">
        <v>0</v>
      </c>
      <c r="B14" s="4" t="s">
        <v>0</v>
      </c>
      <c r="C14" s="6" t="s">
        <v>0</v>
      </c>
      <c r="D14" s="4" t="s">
        <v>0</v>
      </c>
      <c r="E14" s="9" t="s">
        <v>0</v>
      </c>
      <c r="F14" s="9" t="s">
        <v>0</v>
      </c>
      <c r="G14" s="9"/>
      <c r="H14" s="9"/>
      <c r="I14" s="9"/>
      <c r="J14" s="9"/>
      <c r="K14" s="9"/>
      <c r="L14" s="9" t="s">
        <v>0</v>
      </c>
      <c r="M14" s="9"/>
      <c r="N14" s="9"/>
      <c r="O14" s="9"/>
      <c r="P14" s="73"/>
      <c r="Q14" s="73"/>
    </row>
    <row r="15" ht="13.95" customHeight="1" spans="1:17">
      <c r="A15" s="4" t="s">
        <v>0</v>
      </c>
      <c r="B15" s="4" t="s">
        <v>0</v>
      </c>
      <c r="C15" s="6" t="s">
        <v>0</v>
      </c>
      <c r="D15" s="4" t="s">
        <v>0</v>
      </c>
      <c r="E15" s="9" t="s">
        <v>0</v>
      </c>
      <c r="F15" s="9" t="s">
        <v>0</v>
      </c>
      <c r="G15" s="9"/>
      <c r="H15" s="9"/>
      <c r="I15" s="9"/>
      <c r="J15" s="9"/>
      <c r="K15" s="9"/>
      <c r="L15" s="9" t="s">
        <v>0</v>
      </c>
      <c r="M15" s="9"/>
      <c r="N15" s="9"/>
      <c r="O15" s="9"/>
      <c r="P15" s="73"/>
      <c r="Q15" s="73"/>
    </row>
    <row r="16" ht="13.95" customHeight="1" spans="1:17">
      <c r="A16" s="4" t="s">
        <v>0</v>
      </c>
      <c r="B16" s="4" t="s">
        <v>0</v>
      </c>
      <c r="C16" s="6" t="s">
        <v>0</v>
      </c>
      <c r="D16" s="4" t="s">
        <v>0</v>
      </c>
      <c r="E16" s="9" t="s">
        <v>0</v>
      </c>
      <c r="F16" s="9" t="s">
        <v>0</v>
      </c>
      <c r="G16" s="9"/>
      <c r="H16" s="9"/>
      <c r="I16" s="9"/>
      <c r="J16" s="9"/>
      <c r="K16" s="9"/>
      <c r="L16" s="9" t="s">
        <v>0</v>
      </c>
      <c r="M16" s="9"/>
      <c r="N16" s="9"/>
      <c r="O16" s="9"/>
      <c r="P16" s="73"/>
      <c r="Q16" s="73"/>
    </row>
    <row r="17" ht="13.95" customHeight="1" spans="1:17">
      <c r="A17" s="4" t="s">
        <v>0</v>
      </c>
      <c r="B17" s="4" t="s">
        <v>0</v>
      </c>
      <c r="C17" s="6" t="s">
        <v>0</v>
      </c>
      <c r="D17" s="4" t="s">
        <v>0</v>
      </c>
      <c r="E17" s="9" t="s">
        <v>0</v>
      </c>
      <c r="F17" s="9" t="s">
        <v>0</v>
      </c>
      <c r="G17" s="9"/>
      <c r="H17" s="9"/>
      <c r="I17" s="9"/>
      <c r="J17" s="9"/>
      <c r="K17" s="9"/>
      <c r="L17" s="9" t="s">
        <v>0</v>
      </c>
      <c r="M17" s="9"/>
      <c r="N17" s="9"/>
      <c r="O17" s="9"/>
      <c r="P17" s="73"/>
      <c r="Q17" s="73"/>
    </row>
    <row r="18" ht="13.95" customHeight="1" spans="1:17">
      <c r="A18" s="4" t="s">
        <v>0</v>
      </c>
      <c r="B18" s="4" t="s">
        <v>0</v>
      </c>
      <c r="C18" s="6" t="s">
        <v>0</v>
      </c>
      <c r="D18" s="4" t="s">
        <v>0</v>
      </c>
      <c r="E18" s="9" t="s">
        <v>0</v>
      </c>
      <c r="F18" s="9" t="s">
        <v>0</v>
      </c>
      <c r="G18" s="9"/>
      <c r="H18" s="9"/>
      <c r="I18" s="9"/>
      <c r="J18" s="9"/>
      <c r="K18" s="9"/>
      <c r="L18" s="9" t="s">
        <v>0</v>
      </c>
      <c r="M18" s="9"/>
      <c r="N18" s="9"/>
      <c r="O18" s="9"/>
      <c r="P18" s="73"/>
      <c r="Q18" s="73"/>
    </row>
    <row r="19" ht="13.95" customHeight="1" spans="1:17">
      <c r="A19" s="4" t="s">
        <v>0</v>
      </c>
      <c r="B19" s="4" t="s">
        <v>0</v>
      </c>
      <c r="C19" s="6" t="s">
        <v>0</v>
      </c>
      <c r="D19" s="4" t="s">
        <v>0</v>
      </c>
      <c r="E19" s="9" t="s">
        <v>0</v>
      </c>
      <c r="F19" s="9" t="s">
        <v>0</v>
      </c>
      <c r="G19" s="9"/>
      <c r="H19" s="9"/>
      <c r="I19" s="9"/>
      <c r="J19" s="9"/>
      <c r="K19" s="9"/>
      <c r="L19" s="9" t="s">
        <v>0</v>
      </c>
      <c r="M19" s="9"/>
      <c r="N19" s="9"/>
      <c r="O19" s="9"/>
      <c r="P19" s="73"/>
      <c r="Q19" s="73"/>
    </row>
    <row r="20" ht="13.95" customHeight="1" spans="1:17">
      <c r="A20" s="4" t="s">
        <v>0</v>
      </c>
      <c r="B20" s="4" t="s">
        <v>0</v>
      </c>
      <c r="C20" s="6" t="s">
        <v>0</v>
      </c>
      <c r="D20" s="4" t="s">
        <v>0</v>
      </c>
      <c r="E20" s="9" t="s">
        <v>0</v>
      </c>
      <c r="F20" s="9" t="s">
        <v>0</v>
      </c>
      <c r="G20" s="9"/>
      <c r="H20" s="9"/>
      <c r="I20" s="9"/>
      <c r="J20" s="9"/>
      <c r="K20" s="9"/>
      <c r="L20" s="9" t="s">
        <v>0</v>
      </c>
      <c r="M20" s="9"/>
      <c r="N20" s="9"/>
      <c r="O20" s="9"/>
      <c r="P20" s="73"/>
      <c r="Q20" s="73"/>
    </row>
    <row r="21" ht="13.95" customHeight="1" spans="1:17">
      <c r="A21" s="4" t="s">
        <v>0</v>
      </c>
      <c r="B21" s="4" t="s">
        <v>0</v>
      </c>
      <c r="C21" s="6" t="s">
        <v>0</v>
      </c>
      <c r="D21" s="4" t="s">
        <v>0</v>
      </c>
      <c r="E21" s="9" t="s">
        <v>0</v>
      </c>
      <c r="F21" s="9" t="s">
        <v>0</v>
      </c>
      <c r="G21" s="9"/>
      <c r="H21" s="9"/>
      <c r="I21" s="9"/>
      <c r="J21" s="9"/>
      <c r="K21" s="9"/>
      <c r="L21" s="9" t="s">
        <v>0</v>
      </c>
      <c r="M21" s="9"/>
      <c r="N21" s="9"/>
      <c r="O21" s="9"/>
      <c r="P21" s="73"/>
      <c r="Q21" s="73"/>
    </row>
    <row r="22" ht="13.95" customHeight="1" spans="1:17">
      <c r="A22" s="4" t="s">
        <v>0</v>
      </c>
      <c r="B22" s="4" t="s">
        <v>0</v>
      </c>
      <c r="C22" s="6" t="s">
        <v>0</v>
      </c>
      <c r="D22" s="4" t="s">
        <v>0</v>
      </c>
      <c r="E22" s="9" t="s">
        <v>0</v>
      </c>
      <c r="F22" s="9" t="s">
        <v>0</v>
      </c>
      <c r="G22" s="9"/>
      <c r="H22" s="9"/>
      <c r="I22" s="9"/>
      <c r="J22" s="9"/>
      <c r="K22" s="9"/>
      <c r="L22" s="9" t="s">
        <v>0</v>
      </c>
      <c r="M22" s="9"/>
      <c r="N22" s="9"/>
      <c r="O22" s="9"/>
      <c r="P22" s="73"/>
      <c r="Q22" s="73"/>
    </row>
    <row r="23" ht="13.95" customHeight="1" spans="1:17">
      <c r="A23" s="4" t="s">
        <v>0</v>
      </c>
      <c r="B23" s="4" t="s">
        <v>0</v>
      </c>
      <c r="C23" s="6" t="s">
        <v>0</v>
      </c>
      <c r="D23" s="4" t="s">
        <v>0</v>
      </c>
      <c r="E23" s="9" t="s">
        <v>0</v>
      </c>
      <c r="F23" s="9" t="s">
        <v>0</v>
      </c>
      <c r="G23" s="9"/>
      <c r="H23" s="9"/>
      <c r="I23" s="9"/>
      <c r="J23" s="9"/>
      <c r="K23" s="9"/>
      <c r="L23" s="9" t="s">
        <v>0</v>
      </c>
      <c r="M23" s="9"/>
      <c r="N23" s="9"/>
      <c r="O23" s="9"/>
      <c r="P23" s="73"/>
      <c r="Q23" s="73"/>
    </row>
    <row r="24" ht="13.95" customHeight="1" spans="1:17">
      <c r="A24" s="4" t="s">
        <v>0</v>
      </c>
      <c r="B24" s="4" t="s">
        <v>0</v>
      </c>
      <c r="C24" s="6" t="s">
        <v>0</v>
      </c>
      <c r="D24" s="4" t="s">
        <v>0</v>
      </c>
      <c r="E24" s="9" t="s">
        <v>0</v>
      </c>
      <c r="F24" s="9" t="s">
        <v>0</v>
      </c>
      <c r="G24" s="9"/>
      <c r="H24" s="9"/>
      <c r="I24" s="9"/>
      <c r="J24" s="9"/>
      <c r="K24" s="9"/>
      <c r="L24" s="9" t="s">
        <v>0</v>
      </c>
      <c r="M24" s="9"/>
      <c r="N24" s="9"/>
      <c r="O24" s="9"/>
      <c r="P24" s="73"/>
      <c r="Q24" s="73"/>
    </row>
    <row r="25" ht="13.95" customHeight="1" spans="1:17">
      <c r="A25" s="4" t="s">
        <v>0</v>
      </c>
      <c r="B25" s="4" t="s">
        <v>0</v>
      </c>
      <c r="C25" s="6" t="s">
        <v>0</v>
      </c>
      <c r="D25" s="4" t="s">
        <v>0</v>
      </c>
      <c r="E25" s="9" t="s">
        <v>0</v>
      </c>
      <c r="F25" s="9" t="s">
        <v>0</v>
      </c>
      <c r="G25" s="9"/>
      <c r="H25" s="9"/>
      <c r="I25" s="9"/>
      <c r="J25" s="9"/>
      <c r="K25" s="9"/>
      <c r="L25" s="9" t="s">
        <v>0</v>
      </c>
      <c r="M25" s="9"/>
      <c r="N25" s="9"/>
      <c r="O25" s="9"/>
      <c r="P25" s="73"/>
      <c r="Q25" s="73"/>
    </row>
    <row r="26" ht="13.95" customHeight="1" spans="1:17">
      <c r="A26" s="4" t="s">
        <v>0</v>
      </c>
      <c r="B26" s="4" t="s">
        <v>0</v>
      </c>
      <c r="C26" s="6" t="s">
        <v>0</v>
      </c>
      <c r="D26" s="4" t="s">
        <v>0</v>
      </c>
      <c r="E26" s="9" t="s">
        <v>0</v>
      </c>
      <c r="F26" s="9" t="s">
        <v>0</v>
      </c>
      <c r="G26" s="9"/>
      <c r="H26" s="9"/>
      <c r="I26" s="9"/>
      <c r="J26" s="9"/>
      <c r="K26" s="9"/>
      <c r="L26" s="9" t="s">
        <v>0</v>
      </c>
      <c r="M26" s="9"/>
      <c r="N26" s="9"/>
      <c r="O26" s="9"/>
      <c r="P26" s="73"/>
      <c r="Q26" s="73"/>
    </row>
    <row r="27" ht="13.95" customHeight="1" spans="1:17">
      <c r="A27" s="4" t="s">
        <v>0</v>
      </c>
      <c r="B27" s="4" t="s">
        <v>0</v>
      </c>
      <c r="C27" s="6" t="s">
        <v>0</v>
      </c>
      <c r="D27" s="4" t="s">
        <v>0</v>
      </c>
      <c r="E27" s="9" t="s">
        <v>0</v>
      </c>
      <c r="F27" s="9" t="s">
        <v>0</v>
      </c>
      <c r="G27" s="9"/>
      <c r="H27" s="9"/>
      <c r="I27" s="9"/>
      <c r="J27" s="9"/>
      <c r="K27" s="9"/>
      <c r="L27" s="9" t="s">
        <v>0</v>
      </c>
      <c r="M27" s="9"/>
      <c r="N27" s="9"/>
      <c r="O27" s="9"/>
      <c r="P27" s="73"/>
      <c r="Q27" s="73"/>
    </row>
    <row r="28" ht="13.95" customHeight="1" spans="1:17">
      <c r="A28" s="4" t="s">
        <v>0</v>
      </c>
      <c r="B28" s="4" t="s">
        <v>0</v>
      </c>
      <c r="C28" s="6" t="s">
        <v>0</v>
      </c>
      <c r="D28" s="4" t="s">
        <v>0</v>
      </c>
      <c r="E28" s="9" t="s">
        <v>0</v>
      </c>
      <c r="F28" s="9" t="s">
        <v>0</v>
      </c>
      <c r="G28" s="9"/>
      <c r="H28" s="9"/>
      <c r="I28" s="9"/>
      <c r="J28" s="9"/>
      <c r="K28" s="9"/>
      <c r="L28" s="9" t="s">
        <v>0</v>
      </c>
      <c r="M28" s="9"/>
      <c r="N28" s="9"/>
      <c r="O28" s="9"/>
      <c r="P28" s="73"/>
      <c r="Q28" s="73"/>
    </row>
    <row r="29" ht="13.95" customHeight="1" spans="1:17">
      <c r="A29" s="4" t="s">
        <v>0</v>
      </c>
      <c r="B29" s="4" t="s">
        <v>0</v>
      </c>
      <c r="C29" s="6" t="s">
        <v>0</v>
      </c>
      <c r="D29" s="4" t="s">
        <v>0</v>
      </c>
      <c r="E29" s="9" t="s">
        <v>0</v>
      </c>
      <c r="F29" s="9" t="s">
        <v>0</v>
      </c>
      <c r="G29" s="9"/>
      <c r="H29" s="9"/>
      <c r="I29" s="9"/>
      <c r="J29" s="9"/>
      <c r="K29" s="9"/>
      <c r="L29" s="9" t="s">
        <v>0</v>
      </c>
      <c r="M29" s="9"/>
      <c r="N29" s="9"/>
      <c r="O29" s="9"/>
      <c r="P29" s="73"/>
      <c r="Q29" s="73"/>
    </row>
    <row r="30" ht="13.95" customHeight="1" spans="1:17">
      <c r="A30" s="4" t="s">
        <v>0</v>
      </c>
      <c r="B30" s="4" t="s">
        <v>0</v>
      </c>
      <c r="C30" s="6" t="s">
        <v>0</v>
      </c>
      <c r="D30" s="4" t="s">
        <v>0</v>
      </c>
      <c r="E30" s="9" t="s">
        <v>0</v>
      </c>
      <c r="F30" s="9" t="s">
        <v>0</v>
      </c>
      <c r="G30" s="9"/>
      <c r="H30" s="9"/>
      <c r="I30" s="9"/>
      <c r="J30" s="9"/>
      <c r="K30" s="9"/>
      <c r="L30" s="9" t="s">
        <v>0</v>
      </c>
      <c r="M30" s="9"/>
      <c r="N30" s="9"/>
      <c r="O30" s="9"/>
      <c r="P30" s="73"/>
      <c r="Q30" s="73"/>
    </row>
    <row r="31" ht="13.95" customHeight="1" spans="1:17">
      <c r="A31" s="4" t="s">
        <v>0</v>
      </c>
      <c r="B31" s="4" t="s">
        <v>0</v>
      </c>
      <c r="C31" s="6" t="s">
        <v>0</v>
      </c>
      <c r="D31" s="4" t="s">
        <v>0</v>
      </c>
      <c r="E31" s="9" t="s">
        <v>0</v>
      </c>
      <c r="F31" s="9" t="s">
        <v>0</v>
      </c>
      <c r="G31" s="9"/>
      <c r="H31" s="9"/>
      <c r="I31" s="9"/>
      <c r="J31" s="9"/>
      <c r="K31" s="9"/>
      <c r="L31" s="9" t="s">
        <v>0</v>
      </c>
      <c r="M31" s="9"/>
      <c r="N31" s="9"/>
      <c r="O31" s="9"/>
      <c r="P31" s="73"/>
      <c r="Q31" s="73"/>
    </row>
    <row r="32" ht="13.95" customHeight="1" spans="1:17">
      <c r="A32" s="4" t="s">
        <v>0</v>
      </c>
      <c r="B32" s="4" t="s">
        <v>0</v>
      </c>
      <c r="C32" s="6" t="s">
        <v>0</v>
      </c>
      <c r="D32" s="4" t="s">
        <v>0</v>
      </c>
      <c r="E32" s="9" t="s">
        <v>0</v>
      </c>
      <c r="F32" s="9" t="s">
        <v>0</v>
      </c>
      <c r="G32" s="9"/>
      <c r="H32" s="9"/>
      <c r="I32" s="9"/>
      <c r="J32" s="9"/>
      <c r="K32" s="9"/>
      <c r="L32" s="9" t="s">
        <v>0</v>
      </c>
      <c r="M32" s="9"/>
      <c r="N32" s="9"/>
      <c r="O32" s="9"/>
      <c r="P32" s="73"/>
      <c r="Q32" s="73"/>
    </row>
    <row r="33" ht="13.95" customHeight="1" spans="1:17">
      <c r="A33" s="4" t="s">
        <v>0</v>
      </c>
      <c r="B33" s="4" t="s">
        <v>0</v>
      </c>
      <c r="C33" s="6" t="s">
        <v>0</v>
      </c>
      <c r="D33" s="4" t="s">
        <v>0</v>
      </c>
      <c r="E33" s="9" t="s">
        <v>0</v>
      </c>
      <c r="F33" s="9" t="s">
        <v>0</v>
      </c>
      <c r="G33" s="9"/>
      <c r="H33" s="9"/>
      <c r="I33" s="9"/>
      <c r="J33" s="9"/>
      <c r="K33" s="9"/>
      <c r="L33" s="9" t="s">
        <v>0</v>
      </c>
      <c r="M33" s="9"/>
      <c r="N33" s="9"/>
      <c r="O33" s="9"/>
      <c r="P33" s="73"/>
      <c r="Q33" s="73"/>
    </row>
    <row r="34" ht="13.95" customHeight="1" spans="1:17">
      <c r="A34" s="69" t="s">
        <v>0</v>
      </c>
      <c r="B34" s="69" t="s">
        <v>0</v>
      </c>
      <c r="C34" s="4" t="s">
        <v>75</v>
      </c>
      <c r="D34" s="69" t="s">
        <v>0</v>
      </c>
      <c r="E34" s="69" t="s">
        <v>0</v>
      </c>
      <c r="F34" s="69" t="s">
        <v>0</v>
      </c>
      <c r="G34" s="4"/>
      <c r="H34" s="4"/>
      <c r="I34" s="4"/>
      <c r="J34" s="4"/>
      <c r="K34" s="4"/>
      <c r="L34" s="9">
        <f>SUM(L6:L33)</f>
        <v>1145136.02995</v>
      </c>
      <c r="M34" s="9">
        <f t="shared" ref="M34:Q34" si="4">SUM(M6:M33)</f>
        <v>1070220.58995</v>
      </c>
      <c r="N34" s="9">
        <f t="shared" si="4"/>
        <v>0</v>
      </c>
      <c r="O34" s="9">
        <f t="shared" si="4"/>
        <v>0</v>
      </c>
      <c r="P34" s="9">
        <f t="shared" si="4"/>
        <v>21404.42</v>
      </c>
      <c r="Q34" s="9">
        <f t="shared" si="4"/>
        <v>53511.02</v>
      </c>
    </row>
    <row r="35" ht="13.95" customHeight="1" spans="1:17">
      <c r="A35" s="69" t="s">
        <v>0</v>
      </c>
      <c r="B35" s="69" t="s">
        <v>0</v>
      </c>
      <c r="C35" s="4" t="s">
        <v>76</v>
      </c>
      <c r="D35" s="69" t="s">
        <v>0</v>
      </c>
      <c r="E35" s="69" t="s">
        <v>0</v>
      </c>
      <c r="F35" s="69" t="s">
        <v>0</v>
      </c>
      <c r="G35" s="4"/>
      <c r="H35" s="4"/>
      <c r="I35" s="4"/>
      <c r="J35" s="4"/>
      <c r="K35" s="4"/>
      <c r="L35" s="9">
        <f>L34</f>
        <v>1145136.02995</v>
      </c>
      <c r="M35" s="9">
        <f t="shared" ref="M35:Q35" si="5">M34</f>
        <v>1070220.58995</v>
      </c>
      <c r="N35" s="9">
        <f t="shared" si="5"/>
        <v>0</v>
      </c>
      <c r="O35" s="9">
        <f t="shared" si="5"/>
        <v>0</v>
      </c>
      <c r="P35" s="9">
        <f t="shared" si="5"/>
        <v>21404.42</v>
      </c>
      <c r="Q35" s="9">
        <f t="shared" si="5"/>
        <v>53511.02</v>
      </c>
    </row>
    <row r="36" spans="1: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customHeight="1" spans="1:17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</sheetData>
  <mergeCells count="11">
    <mergeCell ref="A1:Q1"/>
    <mergeCell ref="A2:L2"/>
    <mergeCell ref="F3:Q3"/>
    <mergeCell ref="F4:K4"/>
    <mergeCell ref="L4:Q4"/>
    <mergeCell ref="A37:Q37"/>
    <mergeCell ref="A3:A5"/>
    <mergeCell ref="B3:B5"/>
    <mergeCell ref="C3:C5"/>
    <mergeCell ref="D3:D5"/>
    <mergeCell ref="E3:E5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showZeros="0" topLeftCell="A47" workbookViewId="0">
      <selection activeCell="K8" sqref="K8"/>
    </sheetView>
  </sheetViews>
  <sheetFormatPr defaultColWidth="8.88888888888889" defaultRowHeight="14.4"/>
  <cols>
    <col min="1" max="1" width="5.21296296296296" style="1" customWidth="1"/>
    <col min="2" max="2" width="16.8888888888889" style="1" customWidth="1"/>
    <col min="3" max="3" width="14.787037037037" style="1" customWidth="1"/>
    <col min="4" max="4" width="6.11111111111111" style="1" customWidth="1"/>
    <col min="5" max="6" width="13.1111111111111" style="1" customWidth="1"/>
    <col min="7" max="10" width="11.8888888888889" style="1" customWidth="1"/>
    <col min="11" max="11" width="13.1111111111111" style="1" customWidth="1"/>
    <col min="12" max="16384" width="8.88888888888889" style="1"/>
  </cols>
  <sheetData>
    <row r="1" ht="23.4" customHeight="1" spans="1:11">
      <c r="A1" s="41" t="s">
        <v>0</v>
      </c>
      <c r="B1" s="41" t="s">
        <v>0</v>
      </c>
      <c r="C1" s="51" t="s">
        <v>358</v>
      </c>
      <c r="D1" s="51" t="s">
        <v>0</v>
      </c>
      <c r="E1" s="51" t="s">
        <v>0</v>
      </c>
      <c r="F1" s="51" t="s">
        <v>0</v>
      </c>
      <c r="G1" s="51" t="s">
        <v>0</v>
      </c>
      <c r="H1" s="51" t="s">
        <v>0</v>
      </c>
      <c r="I1" s="51" t="s">
        <v>0</v>
      </c>
      <c r="J1" s="49" t="s">
        <v>78</v>
      </c>
      <c r="K1" s="49" t="s">
        <v>0</v>
      </c>
    </row>
    <row r="2" spans="1:11">
      <c r="A2" s="41" t="s">
        <v>79</v>
      </c>
      <c r="B2" s="41" t="s">
        <v>0</v>
      </c>
      <c r="C2" s="41" t="s">
        <v>0</v>
      </c>
      <c r="D2" s="41" t="s">
        <v>0</v>
      </c>
      <c r="E2" s="41" t="s">
        <v>0</v>
      </c>
      <c r="F2" s="41" t="s">
        <v>0</v>
      </c>
      <c r="G2" s="41" t="s">
        <v>0</v>
      </c>
      <c r="H2" s="41" t="s">
        <v>0</v>
      </c>
      <c r="I2" s="41" t="s">
        <v>0</v>
      </c>
      <c r="J2" s="41" t="s">
        <v>0</v>
      </c>
      <c r="K2" s="41" t="s">
        <v>0</v>
      </c>
    </row>
    <row r="3" s="25" customFormat="1" ht="22.05" customHeight="1" spans="1:11">
      <c r="A3" s="49" t="s">
        <v>22</v>
      </c>
      <c r="B3" s="49" t="s">
        <v>0</v>
      </c>
      <c r="C3" s="75" t="s">
        <v>359</v>
      </c>
      <c r="D3" s="75" t="s">
        <v>0</v>
      </c>
      <c r="E3" s="75" t="s">
        <v>0</v>
      </c>
      <c r="F3" s="75" t="s">
        <v>0</v>
      </c>
      <c r="G3" s="75" t="s">
        <v>0</v>
      </c>
      <c r="H3" s="75" t="s">
        <v>0</v>
      </c>
      <c r="I3" s="75" t="s">
        <v>0</v>
      </c>
      <c r="J3" s="75" t="s">
        <v>81</v>
      </c>
      <c r="K3" s="75" t="s">
        <v>0</v>
      </c>
    </row>
    <row r="4" s="25" customFormat="1" ht="22.05" customHeight="1" spans="1:11">
      <c r="A4" s="49" t="s">
        <v>82</v>
      </c>
      <c r="B4" s="49" t="s">
        <v>0</v>
      </c>
      <c r="C4" s="75" t="s">
        <v>360</v>
      </c>
      <c r="D4" s="75" t="s">
        <v>0</v>
      </c>
      <c r="E4" s="75" t="s">
        <v>0</v>
      </c>
      <c r="F4" s="75" t="s">
        <v>0</v>
      </c>
      <c r="G4" s="75" t="s">
        <v>0</v>
      </c>
      <c r="H4" s="75" t="s">
        <v>0</v>
      </c>
      <c r="I4" s="75" t="s">
        <v>0</v>
      </c>
      <c r="J4" s="75" t="str">
        <f>"工程数量："&amp;'[1]附表C-6营造林工程投资概算'!$D$19</f>
        <v>工程数量：963.67</v>
      </c>
      <c r="K4" s="75" t="s">
        <v>0</v>
      </c>
    </row>
    <row r="5" s="25" customFormat="1" ht="22.05" customHeight="1" spans="1:11">
      <c r="A5" s="49" t="s">
        <v>84</v>
      </c>
      <c r="B5" s="49" t="s">
        <v>0</v>
      </c>
      <c r="C5" s="75" t="s">
        <v>361</v>
      </c>
      <c r="D5" s="75" t="s">
        <v>0</v>
      </c>
      <c r="E5" s="75" t="s">
        <v>0</v>
      </c>
      <c r="F5" s="75" t="s">
        <v>0</v>
      </c>
      <c r="G5" s="75" t="s">
        <v>0</v>
      </c>
      <c r="H5" s="75" t="s">
        <v>0</v>
      </c>
      <c r="I5" s="75" t="s">
        <v>0</v>
      </c>
      <c r="J5" s="75" t="str">
        <f>"综合单价："&amp;M$18&amp;"元"</f>
        <v>综合单价：982.49元</v>
      </c>
      <c r="K5" s="75" t="s">
        <v>0</v>
      </c>
    </row>
    <row r="6" spans="1:11">
      <c r="A6" s="44" t="s">
        <v>28</v>
      </c>
      <c r="B6" s="44" t="s">
        <v>86</v>
      </c>
      <c r="C6" s="44" t="s">
        <v>87</v>
      </c>
      <c r="D6" s="44" t="s">
        <v>57</v>
      </c>
      <c r="E6" s="44" t="s">
        <v>88</v>
      </c>
      <c r="F6" s="44" t="s">
        <v>89</v>
      </c>
      <c r="G6" s="44" t="s">
        <v>0</v>
      </c>
      <c r="H6" s="44" t="s">
        <v>0</v>
      </c>
      <c r="I6" s="44" t="s">
        <v>0</v>
      </c>
      <c r="J6" s="44" t="s">
        <v>0</v>
      </c>
      <c r="K6" s="44" t="s">
        <v>0</v>
      </c>
    </row>
    <row r="7" spans="1:11">
      <c r="A7" s="44" t="s">
        <v>0</v>
      </c>
      <c r="B7" s="44" t="s">
        <v>0</v>
      </c>
      <c r="C7" s="44" t="s">
        <v>0</v>
      </c>
      <c r="D7" s="44" t="s">
        <v>0</v>
      </c>
      <c r="E7" s="44" t="s">
        <v>0</v>
      </c>
      <c r="F7" s="45" t="s">
        <v>63</v>
      </c>
      <c r="G7" s="44" t="s">
        <v>64</v>
      </c>
      <c r="H7" s="44" t="s">
        <v>65</v>
      </c>
      <c r="I7" s="44" t="s">
        <v>66</v>
      </c>
      <c r="J7" s="44" t="s">
        <v>67</v>
      </c>
      <c r="K7" s="44" t="s">
        <v>90</v>
      </c>
    </row>
    <row r="8" s="52" customFormat="1" ht="22.05" customHeight="1" spans="1:11">
      <c r="A8" s="44">
        <v>1</v>
      </c>
      <c r="B8" s="10" t="s">
        <v>362</v>
      </c>
      <c r="C8" s="10" t="s">
        <v>363</v>
      </c>
      <c r="D8" s="44" t="s">
        <v>70</v>
      </c>
      <c r="E8" s="86">
        <f>'[1]附表C-6营造林工程投资概算'!$D$19</f>
        <v>963.67</v>
      </c>
      <c r="F8" s="45">
        <f>SUM(F9:F15)</f>
        <v>727161.87005</v>
      </c>
      <c r="G8" s="86"/>
      <c r="H8" s="86"/>
      <c r="I8" s="45">
        <f>SUM(I9:I15)</f>
        <v>14543.26</v>
      </c>
      <c r="J8" s="45">
        <f>SUM(J9:J15)</f>
        <v>36358.09</v>
      </c>
      <c r="K8" s="45">
        <f>SUM(K9:K15)</f>
        <v>778063.22005</v>
      </c>
    </row>
    <row r="9" s="52" customFormat="1" ht="22.05" customHeight="1" spans="1:11">
      <c r="A9" s="44"/>
      <c r="B9" s="10"/>
      <c r="C9" s="10" t="s">
        <v>364</v>
      </c>
      <c r="D9" s="44" t="s">
        <v>70</v>
      </c>
      <c r="E9" s="86">
        <f>'[1]附表C-6营造林工程投资概算'!$D$19</f>
        <v>963.67</v>
      </c>
      <c r="F9" s="87">
        <f>ROUND(E9*'[1]附表C-2营造林技术经济指标表'!$O$8*'[1]附表C-2营造林技术经济指标表'!$O$7,2)*0.94*0.85</f>
        <v>83957.78542</v>
      </c>
      <c r="G9" s="44"/>
      <c r="H9" s="44"/>
      <c r="I9" s="65">
        <f t="shared" ref="I9:I17" si="0">ROUND(F9*0.02,2)</f>
        <v>1679.16</v>
      </c>
      <c r="J9" s="65">
        <f t="shared" ref="J9:J17" si="1">ROUND(F9*0.05,2)</f>
        <v>4197.89</v>
      </c>
      <c r="K9" s="44">
        <f>SUM(F9:J9)</f>
        <v>89834.83542</v>
      </c>
    </row>
    <row r="10" s="52" customFormat="1" ht="22.05" customHeight="1" spans="1:11">
      <c r="A10" s="44"/>
      <c r="B10" s="10"/>
      <c r="C10" s="10" t="s">
        <v>365</v>
      </c>
      <c r="D10" s="44" t="s">
        <v>70</v>
      </c>
      <c r="E10" s="86">
        <f>'[1]附表C-6营造林工程投资概算'!$D$19</f>
        <v>963.67</v>
      </c>
      <c r="F10" s="87">
        <f>ROUND(E10*'[1]附表C-2营造林技术经济指标表'!$O$9*'[1]附表C-2营造林技术经济指标表'!$O$7,2)*0.94*0.85</f>
        <v>25901.87014</v>
      </c>
      <c r="G10" s="44"/>
      <c r="H10" s="44"/>
      <c r="I10" s="65">
        <f t="shared" si="0"/>
        <v>518.04</v>
      </c>
      <c r="J10" s="65">
        <f t="shared" si="1"/>
        <v>1295.09</v>
      </c>
      <c r="K10" s="44">
        <f t="shared" ref="K10:K18" si="2">SUM(F10:J10)</f>
        <v>27715.00014</v>
      </c>
    </row>
    <row r="11" s="52" customFormat="1" ht="22.05" customHeight="1" spans="1:11">
      <c r="A11" s="88"/>
      <c r="B11" s="10"/>
      <c r="C11" s="10" t="s">
        <v>366</v>
      </c>
      <c r="D11" s="44" t="s">
        <v>70</v>
      </c>
      <c r="E11" s="86">
        <f>'[1]附表C-6营造林工程投资概算'!$D$19</f>
        <v>963.67</v>
      </c>
      <c r="F11" s="87">
        <f>ROUND(E11*'[1]附表C-2营造林技术经济指标表'!$O$10*'[1]附表C-2营造林技术经济指标表'!$O$7,2)*0.94*0.85</f>
        <v>91996.29271</v>
      </c>
      <c r="G11" s="44"/>
      <c r="H11" s="44"/>
      <c r="I11" s="65">
        <f t="shared" si="0"/>
        <v>1839.93</v>
      </c>
      <c r="J11" s="65">
        <f t="shared" si="1"/>
        <v>4599.81</v>
      </c>
      <c r="K11" s="44">
        <f t="shared" si="2"/>
        <v>98436.03271</v>
      </c>
    </row>
    <row r="12" s="52" customFormat="1" ht="22.05" customHeight="1" spans="1:11">
      <c r="A12" s="88"/>
      <c r="B12" s="10"/>
      <c r="C12" s="10" t="s">
        <v>367</v>
      </c>
      <c r="D12" s="44" t="s">
        <v>70</v>
      </c>
      <c r="E12" s="86">
        <f>'[1]附表C-6营造林工程投资概算'!$D$19</f>
        <v>963.67</v>
      </c>
      <c r="F12" s="89">
        <f>ROUND(E12*'[1]附表C-2营造林技术经济指标表'!$O$11*'[1]附表C-2营造林技术经济指标表'!$O$6,2)*0.94*0.85</f>
        <v>191692.30872</v>
      </c>
      <c r="G12" s="86"/>
      <c r="H12" s="86"/>
      <c r="I12" s="65">
        <f t="shared" si="0"/>
        <v>3833.85</v>
      </c>
      <c r="J12" s="65">
        <f t="shared" si="1"/>
        <v>9584.62</v>
      </c>
      <c r="K12" s="44">
        <f t="shared" si="2"/>
        <v>205110.77872</v>
      </c>
    </row>
    <row r="13" s="52" customFormat="1" ht="22.05" customHeight="1" spans="1:11">
      <c r="A13" s="44"/>
      <c r="B13" s="10"/>
      <c r="C13" s="8" t="s">
        <v>368</v>
      </c>
      <c r="D13" s="44" t="s">
        <v>70</v>
      </c>
      <c r="E13" s="86">
        <f>'[1]附表C-6营造林工程投资概算'!$D$19</f>
        <v>963.67</v>
      </c>
      <c r="F13" s="89">
        <f>ROUND(E13*'[1]附表C-2营造林技术经济指标表'!$O$12*'[1]附表C-2营造林技术经济指标表'!$O$6,2)*0.94*0.85</f>
        <v>94121.41698</v>
      </c>
      <c r="G13" s="86"/>
      <c r="H13" s="86"/>
      <c r="I13" s="65">
        <f t="shared" si="0"/>
        <v>1882.43</v>
      </c>
      <c r="J13" s="65">
        <f t="shared" si="1"/>
        <v>4706.07</v>
      </c>
      <c r="K13" s="44">
        <f t="shared" si="2"/>
        <v>100709.91698</v>
      </c>
    </row>
    <row r="14" s="52" customFormat="1" ht="22.05" customHeight="1" spans="1:11">
      <c r="A14" s="44"/>
      <c r="B14" s="10"/>
      <c r="C14" s="8" t="s">
        <v>369</v>
      </c>
      <c r="D14" s="44" t="s">
        <v>70</v>
      </c>
      <c r="E14" s="86">
        <f>'[1]附表C-6营造林工程投资概算'!$D$19</f>
        <v>963.67</v>
      </c>
      <c r="F14" s="89">
        <f>ROUND(E14*'[1]附表C-2营造林技术经济指标表'!$O$13*'[1]附表C-2营造林技术经济指标表'!$O$6,2)*0.94*0.85</f>
        <v>157690.33638</v>
      </c>
      <c r="G14" s="86"/>
      <c r="H14" s="86"/>
      <c r="I14" s="65">
        <f t="shared" si="0"/>
        <v>3153.81</v>
      </c>
      <c r="J14" s="65">
        <f t="shared" si="1"/>
        <v>7884.52</v>
      </c>
      <c r="K14" s="44">
        <f t="shared" si="2"/>
        <v>168728.66638</v>
      </c>
    </row>
    <row r="15" s="52" customFormat="1" ht="22.05" customHeight="1" spans="1:11">
      <c r="A15" s="44"/>
      <c r="B15" s="10"/>
      <c r="C15" s="90" t="s">
        <v>370</v>
      </c>
      <c r="D15" s="44" t="s">
        <v>70</v>
      </c>
      <c r="E15" s="86">
        <f>'[1]附表C-6营造林工程投资概算'!$D$19</f>
        <v>963.67</v>
      </c>
      <c r="F15" s="89">
        <f>ROUND(E15*'[1]附表C-2营造林技术经济指标表'!$O$14*'[1]附表C-2营造林技术经济指标表'!$O$6,2)*0.94*0.85</f>
        <v>81801.8597</v>
      </c>
      <c r="G15" s="86"/>
      <c r="H15" s="86"/>
      <c r="I15" s="65">
        <f t="shared" si="0"/>
        <v>1636.04</v>
      </c>
      <c r="J15" s="65">
        <f t="shared" si="1"/>
        <v>4090.09</v>
      </c>
      <c r="K15" s="44">
        <f t="shared" si="2"/>
        <v>87527.9897</v>
      </c>
    </row>
    <row r="16" s="52" customFormat="1" ht="22.05" customHeight="1" spans="1:11">
      <c r="A16" s="44">
        <v>2</v>
      </c>
      <c r="B16" s="84" t="s">
        <v>371</v>
      </c>
      <c r="C16" s="8" t="s">
        <v>372</v>
      </c>
      <c r="D16" s="44" t="s">
        <v>70</v>
      </c>
      <c r="E16" s="86">
        <f>'[1]附表C-6营造林工程投资概算'!$D$19</f>
        <v>963.67</v>
      </c>
      <c r="F16" s="89">
        <f>ROUND(E16*'[1]附表C-2营造林技术经济指标表'!$O$139*'[1]附表C-2营造林技术经济指标表'!$O$6,2)*0.94*0.85</f>
        <v>157690.33638</v>
      </c>
      <c r="G16" s="91"/>
      <c r="H16" s="91"/>
      <c r="I16" s="65">
        <f t="shared" si="0"/>
        <v>3153.81</v>
      </c>
      <c r="J16" s="65">
        <f t="shared" si="1"/>
        <v>7884.52</v>
      </c>
      <c r="K16" s="44">
        <f t="shared" si="2"/>
        <v>168728.66638</v>
      </c>
    </row>
    <row r="17" s="52" customFormat="1" ht="22.05" customHeight="1" spans="1:11">
      <c r="A17" s="44">
        <v>3</v>
      </c>
      <c r="B17" s="10" t="s">
        <v>373</v>
      </c>
      <c r="C17" s="10" t="s">
        <v>105</v>
      </c>
      <c r="D17" s="44" t="s">
        <v>70</v>
      </c>
      <c r="E17" s="86">
        <f>'[1]附表C-6营造林工程投资概算'!$D$19</f>
        <v>963.67</v>
      </c>
      <c r="F17" s="53"/>
      <c r="G17" s="86"/>
      <c r="H17" s="86"/>
      <c r="I17" s="65"/>
      <c r="J17" s="65"/>
      <c r="K17" s="44"/>
    </row>
    <row r="18" s="52" customFormat="1" ht="22.05" customHeight="1" spans="1:13">
      <c r="A18" s="44" t="s">
        <v>8</v>
      </c>
      <c r="B18" s="44" t="s">
        <v>8</v>
      </c>
      <c r="C18" s="44" t="s">
        <v>106</v>
      </c>
      <c r="D18" s="44" t="s">
        <v>8</v>
      </c>
      <c r="E18" s="86" t="s">
        <v>8</v>
      </c>
      <c r="F18" s="53">
        <f>SUM(F8,F16:F17)</f>
        <v>884852.20643</v>
      </c>
      <c r="G18" s="86"/>
      <c r="H18" s="44" t="s">
        <v>0</v>
      </c>
      <c r="I18" s="53">
        <f>SUM(I8,I16:I17)</f>
        <v>17697.07</v>
      </c>
      <c r="J18" s="53">
        <f>SUM(J8,J16:J17)</f>
        <v>44242.61</v>
      </c>
      <c r="K18" s="93">
        <f t="shared" si="2"/>
        <v>946791.88643</v>
      </c>
      <c r="M18" s="52">
        <f>ROUND(K18/E17,2)</f>
        <v>982.49</v>
      </c>
    </row>
    <row r="19" ht="125.4" customHeight="1"/>
    <row r="20" spans="7:11">
      <c r="G20" s="28"/>
      <c r="H20" s="28"/>
      <c r="I20" s="28"/>
      <c r="J20" s="28"/>
      <c r="K20" s="28"/>
    </row>
    <row r="21" s="85" customFormat="1" ht="24.6" customHeight="1" spans="1:11">
      <c r="A21" s="41" t="s">
        <v>0</v>
      </c>
      <c r="B21" s="41" t="s">
        <v>0</v>
      </c>
      <c r="C21" s="51" t="s">
        <v>358</v>
      </c>
      <c r="D21" s="51" t="s">
        <v>0</v>
      </c>
      <c r="E21" s="51" t="s">
        <v>0</v>
      </c>
      <c r="F21" s="51" t="s">
        <v>0</v>
      </c>
      <c r="G21" s="51" t="s">
        <v>0</v>
      </c>
      <c r="H21" s="51" t="s">
        <v>0</v>
      </c>
      <c r="I21" s="51" t="s">
        <v>0</v>
      </c>
      <c r="J21" s="49" t="s">
        <v>107</v>
      </c>
      <c r="K21" s="49" t="s">
        <v>0</v>
      </c>
    </row>
    <row r="22" spans="1:11">
      <c r="A22" s="41" t="s">
        <v>79</v>
      </c>
      <c r="B22" s="41" t="s">
        <v>0</v>
      </c>
      <c r="C22" s="41" t="s">
        <v>0</v>
      </c>
      <c r="D22" s="41" t="s">
        <v>0</v>
      </c>
      <c r="E22" s="41" t="s">
        <v>0</v>
      </c>
      <c r="F22" s="41" t="s">
        <v>0</v>
      </c>
      <c r="G22" s="41" t="s">
        <v>0</v>
      </c>
      <c r="H22" s="41" t="s">
        <v>0</v>
      </c>
      <c r="I22" s="41" t="s">
        <v>0</v>
      </c>
      <c r="J22" s="41" t="s">
        <v>0</v>
      </c>
      <c r="K22" s="41" t="s">
        <v>0</v>
      </c>
    </row>
    <row r="23" s="25" customFormat="1" ht="22.05" customHeight="1" spans="1:11">
      <c r="A23" s="49" t="s">
        <v>22</v>
      </c>
      <c r="B23" s="49" t="s">
        <v>0</v>
      </c>
      <c r="C23" s="75" t="s">
        <v>359</v>
      </c>
      <c r="D23" s="75" t="s">
        <v>0</v>
      </c>
      <c r="E23" s="75" t="s">
        <v>0</v>
      </c>
      <c r="F23" s="75" t="s">
        <v>0</v>
      </c>
      <c r="G23" s="75" t="s">
        <v>0</v>
      </c>
      <c r="H23" s="75" t="s">
        <v>0</v>
      </c>
      <c r="I23" s="75" t="s">
        <v>0</v>
      </c>
      <c r="J23" s="75" t="s">
        <v>81</v>
      </c>
      <c r="K23" s="75" t="s">
        <v>0</v>
      </c>
    </row>
    <row r="24" s="25" customFormat="1" ht="22.05" customHeight="1" spans="1:11">
      <c r="A24" s="49" t="s">
        <v>82</v>
      </c>
      <c r="B24" s="49" t="s">
        <v>0</v>
      </c>
      <c r="C24" s="75" t="s">
        <v>374</v>
      </c>
      <c r="D24" s="75" t="s">
        <v>0</v>
      </c>
      <c r="E24" s="75" t="s">
        <v>0</v>
      </c>
      <c r="F24" s="75" t="s">
        <v>0</v>
      </c>
      <c r="G24" s="75" t="s">
        <v>0</v>
      </c>
      <c r="H24" s="75" t="s">
        <v>0</v>
      </c>
      <c r="I24" s="75" t="s">
        <v>0</v>
      </c>
      <c r="J24" s="75" t="str">
        <f>"工程数量："&amp;'[1]附表C-6营造林工程投资概算'!$D$20</f>
        <v>工程数量：193.55</v>
      </c>
      <c r="K24" s="75" t="s">
        <v>0</v>
      </c>
    </row>
    <row r="25" s="25" customFormat="1" ht="22.05" customHeight="1" spans="1:11">
      <c r="A25" s="49" t="s">
        <v>84</v>
      </c>
      <c r="B25" s="49" t="s">
        <v>0</v>
      </c>
      <c r="C25" s="75" t="s">
        <v>375</v>
      </c>
      <c r="D25" s="75" t="s">
        <v>0</v>
      </c>
      <c r="E25" s="75" t="s">
        <v>0</v>
      </c>
      <c r="F25" s="75" t="s">
        <v>0</v>
      </c>
      <c r="G25" s="75" t="s">
        <v>0</v>
      </c>
      <c r="H25" s="75" t="s">
        <v>0</v>
      </c>
      <c r="I25" s="75" t="s">
        <v>0</v>
      </c>
      <c r="J25" s="75" t="str">
        <f>"综合单价："&amp;$M$38&amp;"元"</f>
        <v>综合单价：982.49元</v>
      </c>
      <c r="K25" s="75" t="s">
        <v>0</v>
      </c>
    </row>
    <row r="26" spans="1:11">
      <c r="A26" s="44" t="s">
        <v>28</v>
      </c>
      <c r="B26" s="44" t="s">
        <v>86</v>
      </c>
      <c r="C26" s="44" t="s">
        <v>87</v>
      </c>
      <c r="D26" s="44" t="s">
        <v>57</v>
      </c>
      <c r="E26" s="44" t="s">
        <v>88</v>
      </c>
      <c r="F26" s="44" t="s">
        <v>89</v>
      </c>
      <c r="G26" s="44" t="s">
        <v>0</v>
      </c>
      <c r="H26" s="44" t="s">
        <v>0</v>
      </c>
      <c r="I26" s="44" t="s">
        <v>0</v>
      </c>
      <c r="J26" s="44" t="s">
        <v>0</v>
      </c>
      <c r="K26" s="44" t="s">
        <v>0</v>
      </c>
    </row>
    <row r="27" spans="1:11">
      <c r="A27" s="44" t="s">
        <v>0</v>
      </c>
      <c r="B27" s="44" t="s">
        <v>0</v>
      </c>
      <c r="C27" s="44" t="s">
        <v>0</v>
      </c>
      <c r="D27" s="44" t="s">
        <v>0</v>
      </c>
      <c r="E27" s="44" t="s">
        <v>0</v>
      </c>
      <c r="F27" s="45" t="s">
        <v>63</v>
      </c>
      <c r="G27" s="44" t="s">
        <v>64</v>
      </c>
      <c r="H27" s="44" t="s">
        <v>65</v>
      </c>
      <c r="I27" s="44" t="s">
        <v>66</v>
      </c>
      <c r="J27" s="44" t="s">
        <v>67</v>
      </c>
      <c r="K27" s="44" t="s">
        <v>90</v>
      </c>
    </row>
    <row r="28" s="52" customFormat="1" ht="22.05" customHeight="1" spans="1:11">
      <c r="A28" s="44">
        <v>1</v>
      </c>
      <c r="B28" s="10" t="s">
        <v>376</v>
      </c>
      <c r="C28" s="10" t="s">
        <v>363</v>
      </c>
      <c r="D28" s="44" t="s">
        <v>70</v>
      </c>
      <c r="E28" s="86">
        <f>'[1]附表C-6营造林工程投资概算'!$D$20</f>
        <v>193.55</v>
      </c>
      <c r="F28" s="45">
        <f>SUM(F29:F35)</f>
        <v>146048.09939</v>
      </c>
      <c r="G28" s="44"/>
      <c r="H28" s="44"/>
      <c r="I28" s="45">
        <f>SUM(I29:I35)</f>
        <v>2920.96</v>
      </c>
      <c r="J28" s="45">
        <f>SUM(J29:J35)</f>
        <v>7302.41</v>
      </c>
      <c r="K28" s="44">
        <f>SUM(F28:J28)</f>
        <v>156271.46939</v>
      </c>
    </row>
    <row r="29" s="52" customFormat="1" ht="22.05" customHeight="1" spans="1:11">
      <c r="A29" s="44"/>
      <c r="B29" s="10"/>
      <c r="C29" s="10" t="s">
        <v>364</v>
      </c>
      <c r="D29" s="44" t="s">
        <v>70</v>
      </c>
      <c r="E29" s="86">
        <f>'[1]附表C-6营造林工程投资概算'!$D$20</f>
        <v>193.55</v>
      </c>
      <c r="F29" s="87">
        <f>ROUND(E29*'[1]附表C-2营造林技术经济指标表'!$P$8*'[1]附表C-2营造林技术经济指标表'!$P$7,2)*0.94*0.85</f>
        <v>16862.64731</v>
      </c>
      <c r="G29" s="44"/>
      <c r="H29" s="44"/>
      <c r="I29" s="65">
        <f t="shared" ref="I29:I37" si="3">ROUND(F29*0.02,2)</f>
        <v>337.25</v>
      </c>
      <c r="J29" s="65">
        <f t="shared" ref="J29:J37" si="4">ROUND(F29*0.05,2)</f>
        <v>843.13</v>
      </c>
      <c r="K29" s="44">
        <f>SUM(F29:J29)</f>
        <v>18043.02731</v>
      </c>
    </row>
    <row r="30" s="52" customFormat="1" ht="22.05" customHeight="1" spans="1:11">
      <c r="A30" s="44"/>
      <c r="B30" s="10"/>
      <c r="C30" s="10" t="s">
        <v>365</v>
      </c>
      <c r="D30" s="44" t="s">
        <v>70</v>
      </c>
      <c r="E30" s="86">
        <f>'[1]附表C-6营造林工程投资概算'!$D$20</f>
        <v>193.55</v>
      </c>
      <c r="F30" s="87">
        <f>ROUND(E30*'[1]附表C-2营造林技术经济指标表'!$P$9*'[1]附表C-2营造林技术经济指标表'!$P$7,2)*0.94*0.85</f>
        <v>5202.30498</v>
      </c>
      <c r="G30" s="44"/>
      <c r="H30" s="44"/>
      <c r="I30" s="65">
        <f t="shared" si="3"/>
        <v>104.05</v>
      </c>
      <c r="J30" s="65">
        <f t="shared" si="4"/>
        <v>260.12</v>
      </c>
      <c r="K30" s="44">
        <f t="shared" ref="K30:K38" si="5">SUM(F30:J30)</f>
        <v>5566.47498</v>
      </c>
    </row>
    <row r="31" s="52" customFormat="1" ht="22.05" customHeight="1" spans="1:11">
      <c r="A31" s="44"/>
      <c r="B31" s="10"/>
      <c r="C31" s="10" t="s">
        <v>366</v>
      </c>
      <c r="D31" s="44" t="s">
        <v>70</v>
      </c>
      <c r="E31" s="86">
        <f>'[1]附表C-6营造林工程投资概算'!$D$20</f>
        <v>193.55</v>
      </c>
      <c r="F31" s="87">
        <f>ROUND(E31*'[1]附表C-2营造林技术经济指标表'!$P$10*'[1]附表C-2营造林技术经济指标表'!$P$7,2)*0.94*0.85</f>
        <v>18477.15465</v>
      </c>
      <c r="G31" s="44"/>
      <c r="H31" s="44"/>
      <c r="I31" s="65">
        <f t="shared" si="3"/>
        <v>369.54</v>
      </c>
      <c r="J31" s="65">
        <f t="shared" si="4"/>
        <v>923.86</v>
      </c>
      <c r="K31" s="44">
        <f t="shared" si="5"/>
        <v>19770.55465</v>
      </c>
    </row>
    <row r="32" s="52" customFormat="1" ht="22.05" customHeight="1" spans="1:11">
      <c r="A32" s="44"/>
      <c r="B32" s="10"/>
      <c r="C32" s="10" t="s">
        <v>367</v>
      </c>
      <c r="D32" s="44" t="s">
        <v>70</v>
      </c>
      <c r="E32" s="86">
        <f>'[1]附表C-6营造林工程投资概算'!$D$20</f>
        <v>193.55</v>
      </c>
      <c r="F32" s="89">
        <f>ROUND(E32*'[1]附表C-2营造林技术经济指标表'!$P$11*'[1]附表C-2营造林技术经济指标表'!$P$6,2)*0.94*0.85</f>
        <v>38500.78179</v>
      </c>
      <c r="G32" s="86"/>
      <c r="H32" s="86"/>
      <c r="I32" s="65">
        <f t="shared" si="3"/>
        <v>770.02</v>
      </c>
      <c r="J32" s="65">
        <f t="shared" si="4"/>
        <v>1925.04</v>
      </c>
      <c r="K32" s="44">
        <f t="shared" si="5"/>
        <v>41195.84179</v>
      </c>
    </row>
    <row r="33" s="52" customFormat="1" ht="22.05" customHeight="1" spans="1:11">
      <c r="A33" s="44"/>
      <c r="B33" s="10"/>
      <c r="C33" s="8" t="s">
        <v>368</v>
      </c>
      <c r="D33" s="44" t="s">
        <v>70</v>
      </c>
      <c r="E33" s="86">
        <f>'[1]附表C-6营造林工程投资概算'!$D$20</f>
        <v>193.55</v>
      </c>
      <c r="F33" s="89">
        <f>ROUND(E33*'[1]附表C-2营造林技术经济指标表'!$P$12*'[1]附表C-2营造林技术经济指标表'!$P$6,2)*0.94*0.85</f>
        <v>18903.98045</v>
      </c>
      <c r="G33" s="86"/>
      <c r="H33" s="86"/>
      <c r="I33" s="65">
        <f t="shared" si="3"/>
        <v>378.08</v>
      </c>
      <c r="J33" s="65">
        <f t="shared" si="4"/>
        <v>945.2</v>
      </c>
      <c r="K33" s="44">
        <f t="shared" si="5"/>
        <v>20227.26045</v>
      </c>
    </row>
    <row r="34" s="52" customFormat="1" ht="22.05" customHeight="1" spans="1:11">
      <c r="A34" s="44"/>
      <c r="B34" s="10"/>
      <c r="C34" s="8" t="s">
        <v>369</v>
      </c>
      <c r="D34" s="44" t="s">
        <v>70</v>
      </c>
      <c r="E34" s="86">
        <f>'[1]附表C-6营造林工程投资概算'!$D$20</f>
        <v>193.55</v>
      </c>
      <c r="F34" s="89">
        <f>ROUND(E34*'[1]附表C-2营造林技术经济指标表'!$P$13*'[1]附表C-2营造林技术经济指标表'!$P$6,2)*0.94*0.85</f>
        <v>31671.59296</v>
      </c>
      <c r="G34" s="86"/>
      <c r="H34" s="86"/>
      <c r="I34" s="65">
        <f t="shared" si="3"/>
        <v>633.43</v>
      </c>
      <c r="J34" s="65">
        <f t="shared" si="4"/>
        <v>1583.58</v>
      </c>
      <c r="K34" s="44">
        <f t="shared" si="5"/>
        <v>33888.60296</v>
      </c>
    </row>
    <row r="35" s="52" customFormat="1" ht="22.05" customHeight="1" spans="1:11">
      <c r="A35" s="44"/>
      <c r="B35" s="10"/>
      <c r="C35" s="90" t="s">
        <v>370</v>
      </c>
      <c r="D35" s="44" t="s">
        <v>70</v>
      </c>
      <c r="E35" s="86">
        <f>'[1]附表C-6营造林工程投资概算'!$D$20</f>
        <v>193.55</v>
      </c>
      <c r="F35" s="89">
        <f>ROUND(E35*'[1]附表C-2营造林技术经济指标表'!$P$14*'[1]附表C-2营造林技术经济指标表'!$P$6,2)*0.94*0.85</f>
        <v>16429.63725</v>
      </c>
      <c r="G35" s="86"/>
      <c r="H35" s="86"/>
      <c r="I35" s="65">
        <f t="shared" si="3"/>
        <v>328.59</v>
      </c>
      <c r="J35" s="65">
        <f t="shared" si="4"/>
        <v>821.48</v>
      </c>
      <c r="K35" s="44">
        <f t="shared" si="5"/>
        <v>17579.70725</v>
      </c>
    </row>
    <row r="36" s="52" customFormat="1" ht="22.05" customHeight="1" spans="1:11">
      <c r="A36" s="44">
        <v>2</v>
      </c>
      <c r="B36" s="84" t="s">
        <v>377</v>
      </c>
      <c r="C36" s="8" t="s">
        <v>372</v>
      </c>
      <c r="D36" s="44" t="s">
        <v>70</v>
      </c>
      <c r="E36" s="86">
        <f>'[1]附表C-6营造林工程投资概算'!$D$20</f>
        <v>193.55</v>
      </c>
      <c r="F36" s="89">
        <f>ROUND(E36*'[1]附表C-2营造林技术经济指标表'!$P$139*'[1]附表C-2营造林技术经济指标表'!$P$6,2)*0.94*0.85</f>
        <v>31671.59296</v>
      </c>
      <c r="G36" s="91"/>
      <c r="H36" s="91"/>
      <c r="I36" s="65">
        <f t="shared" si="3"/>
        <v>633.43</v>
      </c>
      <c r="J36" s="65">
        <f t="shared" si="4"/>
        <v>1583.58</v>
      </c>
      <c r="K36" s="44">
        <f t="shared" si="5"/>
        <v>33888.60296</v>
      </c>
    </row>
    <row r="37" s="52" customFormat="1" ht="22.05" customHeight="1" spans="1:11">
      <c r="A37" s="44">
        <v>3</v>
      </c>
      <c r="B37" s="10" t="s">
        <v>378</v>
      </c>
      <c r="C37" s="10" t="s">
        <v>105</v>
      </c>
      <c r="D37" s="44" t="s">
        <v>70</v>
      </c>
      <c r="E37" s="86">
        <f>'[1]附表C-6营造林工程投资概算'!$D$20</f>
        <v>193.55</v>
      </c>
      <c r="F37" s="53"/>
      <c r="G37" s="86"/>
      <c r="H37" s="86"/>
      <c r="I37" s="65"/>
      <c r="J37" s="65"/>
      <c r="K37" s="44"/>
    </row>
    <row r="38" s="52" customFormat="1" ht="22.05" customHeight="1" spans="1:13">
      <c r="A38" s="44" t="s">
        <v>8</v>
      </c>
      <c r="B38" s="44" t="s">
        <v>8</v>
      </c>
      <c r="C38" s="44" t="s">
        <v>106</v>
      </c>
      <c r="D38" s="44" t="s">
        <v>8</v>
      </c>
      <c r="E38" s="86" t="s">
        <v>8</v>
      </c>
      <c r="F38" s="53">
        <f>SUM(F28,F36,F37)</f>
        <v>177719.69235</v>
      </c>
      <c r="G38" s="86"/>
      <c r="H38" s="44" t="s">
        <v>0</v>
      </c>
      <c r="I38" s="53">
        <f>SUM(I28,I36:I37)</f>
        <v>3554.39</v>
      </c>
      <c r="J38" s="53">
        <f>SUM(J28,J36:J37)</f>
        <v>8885.99</v>
      </c>
      <c r="K38" s="44">
        <f t="shared" si="5"/>
        <v>190160.07235</v>
      </c>
      <c r="M38" s="52">
        <f>ROUND(K38/E37,2)</f>
        <v>982.49</v>
      </c>
    </row>
    <row r="39" ht="125.4" customHeight="1"/>
    <row r="40" spans="7:11">
      <c r="G40" s="28"/>
      <c r="H40" s="28"/>
      <c r="I40" s="28"/>
      <c r="J40" s="28"/>
      <c r="K40" s="28"/>
    </row>
    <row r="41" ht="22.2" customHeight="1" spans="1:11">
      <c r="A41" s="41" t="s">
        <v>0</v>
      </c>
      <c r="B41" s="41" t="s">
        <v>0</v>
      </c>
      <c r="C41" s="51" t="s">
        <v>358</v>
      </c>
      <c r="D41" s="51" t="s">
        <v>0</v>
      </c>
      <c r="E41" s="51" t="s">
        <v>0</v>
      </c>
      <c r="F41" s="51" t="s">
        <v>0</v>
      </c>
      <c r="G41" s="51" t="s">
        <v>0</v>
      </c>
      <c r="H41" s="51" t="s">
        <v>0</v>
      </c>
      <c r="I41" s="51" t="s">
        <v>0</v>
      </c>
      <c r="J41" s="49" t="s">
        <v>120</v>
      </c>
      <c r="K41" s="49" t="s">
        <v>0</v>
      </c>
    </row>
    <row r="42" spans="1:11">
      <c r="A42" s="41" t="s">
        <v>79</v>
      </c>
      <c r="B42" s="41" t="s">
        <v>0</v>
      </c>
      <c r="C42" s="41" t="s">
        <v>0</v>
      </c>
      <c r="D42" s="41" t="s">
        <v>0</v>
      </c>
      <c r="E42" s="41" t="s">
        <v>0</v>
      </c>
      <c r="F42" s="41" t="s">
        <v>0</v>
      </c>
      <c r="G42" s="41" t="s">
        <v>0</v>
      </c>
      <c r="H42" s="41" t="s">
        <v>0</v>
      </c>
      <c r="I42" s="41" t="s">
        <v>0</v>
      </c>
      <c r="J42" s="41" t="s">
        <v>0</v>
      </c>
      <c r="K42" s="41" t="s">
        <v>0</v>
      </c>
    </row>
    <row r="43" ht="22.05" customHeight="1" spans="1:11">
      <c r="A43" s="54" t="s">
        <v>22</v>
      </c>
      <c r="B43" s="54" t="s">
        <v>0</v>
      </c>
      <c r="C43" s="34" t="s">
        <v>359</v>
      </c>
      <c r="D43" s="34" t="s">
        <v>0</v>
      </c>
      <c r="E43" s="34" t="s">
        <v>0</v>
      </c>
      <c r="F43" s="34" t="s">
        <v>0</v>
      </c>
      <c r="G43" s="34" t="s">
        <v>0</v>
      </c>
      <c r="H43" s="34" t="s">
        <v>0</v>
      </c>
      <c r="I43" s="34" t="s">
        <v>0</v>
      </c>
      <c r="J43" s="34" t="s">
        <v>81</v>
      </c>
      <c r="K43" s="34" t="s">
        <v>0</v>
      </c>
    </row>
    <row r="44" ht="22.05" customHeight="1" spans="1:11">
      <c r="A44" s="54" t="s">
        <v>82</v>
      </c>
      <c r="B44" s="54" t="s">
        <v>0</v>
      </c>
      <c r="C44" s="34" t="s">
        <v>379</v>
      </c>
      <c r="D44" s="34" t="s">
        <v>0</v>
      </c>
      <c r="E44" s="34" t="s">
        <v>0</v>
      </c>
      <c r="F44" s="34" t="s">
        <v>0</v>
      </c>
      <c r="G44" s="34" t="s">
        <v>0</v>
      </c>
      <c r="H44" s="34" t="s">
        <v>0</v>
      </c>
      <c r="I44" s="34" t="s">
        <v>0</v>
      </c>
      <c r="J44" s="34" t="str">
        <f>"工程数量："&amp;'[1]附表C-6营造林工程投资概算'!$D$21</f>
        <v>工程数量：8.33</v>
      </c>
      <c r="K44" s="34" t="s">
        <v>0</v>
      </c>
    </row>
    <row r="45" ht="22.05" customHeight="1" spans="1:11">
      <c r="A45" s="54" t="s">
        <v>84</v>
      </c>
      <c r="B45" s="54" t="s">
        <v>0</v>
      </c>
      <c r="C45" s="34" t="s">
        <v>380</v>
      </c>
      <c r="D45" s="34" t="s">
        <v>0</v>
      </c>
      <c r="E45" s="34" t="s">
        <v>0</v>
      </c>
      <c r="F45" s="34" t="s">
        <v>0</v>
      </c>
      <c r="G45" s="34" t="s">
        <v>0</v>
      </c>
      <c r="H45" s="34" t="s">
        <v>0</v>
      </c>
      <c r="I45" s="34" t="s">
        <v>0</v>
      </c>
      <c r="J45" s="34" t="str">
        <f>"综合单价："&amp;$M$58&amp;"元"</f>
        <v>综合单价：982.48元</v>
      </c>
      <c r="K45" s="34" t="s">
        <v>0</v>
      </c>
    </row>
    <row r="46" spans="1:11">
      <c r="A46" s="44" t="s">
        <v>28</v>
      </c>
      <c r="B46" s="44" t="s">
        <v>86</v>
      </c>
      <c r="C46" s="44" t="s">
        <v>87</v>
      </c>
      <c r="D46" s="44" t="s">
        <v>57</v>
      </c>
      <c r="E46" s="44" t="s">
        <v>88</v>
      </c>
      <c r="F46" s="44" t="s">
        <v>89</v>
      </c>
      <c r="G46" s="44" t="s">
        <v>0</v>
      </c>
      <c r="H46" s="44" t="s">
        <v>0</v>
      </c>
      <c r="I46" s="44" t="s">
        <v>0</v>
      </c>
      <c r="J46" s="44" t="s">
        <v>0</v>
      </c>
      <c r="K46" s="44" t="s">
        <v>0</v>
      </c>
    </row>
    <row r="47" spans="1:11">
      <c r="A47" s="44" t="s">
        <v>0</v>
      </c>
      <c r="B47" s="44" t="s">
        <v>0</v>
      </c>
      <c r="C47" s="44" t="s">
        <v>0</v>
      </c>
      <c r="D47" s="44" t="s">
        <v>0</v>
      </c>
      <c r="E47" s="44" t="s">
        <v>0</v>
      </c>
      <c r="F47" s="45" t="s">
        <v>63</v>
      </c>
      <c r="G47" s="44" t="s">
        <v>64</v>
      </c>
      <c r="H47" s="44" t="s">
        <v>65</v>
      </c>
      <c r="I47" s="44" t="s">
        <v>66</v>
      </c>
      <c r="J47" s="44" t="s">
        <v>67</v>
      </c>
      <c r="K47" s="44" t="s">
        <v>90</v>
      </c>
    </row>
    <row r="48" s="52" customFormat="1" ht="22.05" customHeight="1" spans="1:11">
      <c r="A48" s="44">
        <v>1</v>
      </c>
      <c r="B48" s="10" t="s">
        <v>381</v>
      </c>
      <c r="C48" s="10" t="s">
        <v>363</v>
      </c>
      <c r="D48" s="44" t="s">
        <v>70</v>
      </c>
      <c r="E48" s="86">
        <f>'[1]附表C-6营造林工程投资概算'!$D$21</f>
        <v>8.33</v>
      </c>
      <c r="F48" s="46">
        <f>SUM(F49:F55)</f>
        <v>6285.61315</v>
      </c>
      <c r="G48" s="44"/>
      <c r="H48" s="44"/>
      <c r="I48" s="45">
        <f>SUM(I49:I55)</f>
        <v>125.7</v>
      </c>
      <c r="J48" s="45">
        <f>SUM(J49:J55)</f>
        <v>314.27</v>
      </c>
      <c r="K48" s="47">
        <f>SUM(F48:J48)</f>
        <v>6725.58315</v>
      </c>
    </row>
    <row r="49" s="52" customFormat="1" ht="22.05" customHeight="1" spans="1:11">
      <c r="A49" s="44"/>
      <c r="B49" s="10"/>
      <c r="C49" s="10" t="s">
        <v>364</v>
      </c>
      <c r="D49" s="44" t="s">
        <v>70</v>
      </c>
      <c r="E49" s="86">
        <f>'[1]附表C-6营造林工程投资概算'!$D$21</f>
        <v>8.33</v>
      </c>
      <c r="F49" s="92">
        <f>ROUND(E49*'[1]附表C-2营造林技术经济指标表'!$Q$8*'[1]附表C-2营造林技术经济指标表'!$Q$7,2)*0.94*0.85</f>
        <v>725.7317</v>
      </c>
      <c r="G49" s="44"/>
      <c r="H49" s="44"/>
      <c r="I49" s="65">
        <f t="shared" ref="I49:I57" si="6">ROUND(F49*0.02,2)</f>
        <v>14.51</v>
      </c>
      <c r="J49" s="65">
        <f t="shared" ref="J49:J57" si="7">ROUND(F49*0.05,2)</f>
        <v>36.29</v>
      </c>
      <c r="K49" s="47">
        <f>SUM(F49:J49)</f>
        <v>776.5317</v>
      </c>
    </row>
    <row r="50" s="52" customFormat="1" ht="22.05" customHeight="1" spans="1:11">
      <c r="A50" s="44"/>
      <c r="B50" s="10"/>
      <c r="C50" s="10" t="s">
        <v>365</v>
      </c>
      <c r="D50" s="44" t="s">
        <v>70</v>
      </c>
      <c r="E50" s="86">
        <f>'[1]附表C-6营造林工程投资概算'!$D$21</f>
        <v>8.33</v>
      </c>
      <c r="F50" s="92">
        <f>ROUND(E50*'[1]附表C-2营造林技术经济指标表'!$Q$9*'[1]附表C-2营造林技术经济指标表'!$Q$7,2)*0.94*0.85</f>
        <v>223.89578</v>
      </c>
      <c r="G50" s="44"/>
      <c r="H50" s="44"/>
      <c r="I50" s="65">
        <f t="shared" si="6"/>
        <v>4.48</v>
      </c>
      <c r="J50" s="65">
        <f t="shared" si="7"/>
        <v>11.19</v>
      </c>
      <c r="K50" s="47">
        <f t="shared" ref="K50:K58" si="8">SUM(F50:J50)</f>
        <v>239.56578</v>
      </c>
    </row>
    <row r="51" s="52" customFormat="1" ht="22.05" customHeight="1" spans="1:11">
      <c r="A51" s="44"/>
      <c r="B51" s="10"/>
      <c r="C51" s="10" t="s">
        <v>366</v>
      </c>
      <c r="D51" s="44" t="s">
        <v>70</v>
      </c>
      <c r="E51" s="86">
        <f>'[1]附表C-6营造林工程投资概算'!$D$21</f>
        <v>8.33</v>
      </c>
      <c r="F51" s="92">
        <f>ROUND(E51*'[1]附表C-2营造林技术经济指标表'!$Q$10*'[1]附表C-2营造林技术经济指标表'!$Q$7,2)*0.94*0.85</f>
        <v>795.22073</v>
      </c>
      <c r="G51" s="44"/>
      <c r="H51" s="44"/>
      <c r="I51" s="65">
        <f t="shared" si="6"/>
        <v>15.9</v>
      </c>
      <c r="J51" s="65">
        <f t="shared" si="7"/>
        <v>39.76</v>
      </c>
      <c r="K51" s="47">
        <f t="shared" si="8"/>
        <v>850.88073</v>
      </c>
    </row>
    <row r="52" s="52" customFormat="1" ht="22.05" customHeight="1" spans="1:11">
      <c r="A52" s="44"/>
      <c r="B52" s="10"/>
      <c r="C52" s="10" t="s">
        <v>367</v>
      </c>
      <c r="D52" s="44" t="s">
        <v>70</v>
      </c>
      <c r="E52" s="86">
        <f>'[1]附表C-6营造林工程投资概算'!$D$21</f>
        <v>8.33</v>
      </c>
      <c r="F52" s="92">
        <f>ROUND(E52*'[1]附表C-2营造林技术经济指标表'!$Q$11*'[1]附表C-2营造林技术经济指标表'!$Q$6,2)*0.94*0.85</f>
        <v>1656.99816</v>
      </c>
      <c r="G52" s="86"/>
      <c r="H52" s="86"/>
      <c r="I52" s="65">
        <f t="shared" si="6"/>
        <v>33.14</v>
      </c>
      <c r="J52" s="65">
        <f t="shared" si="7"/>
        <v>82.85</v>
      </c>
      <c r="K52" s="47">
        <f t="shared" si="8"/>
        <v>1772.98816</v>
      </c>
    </row>
    <row r="53" s="52" customFormat="1" ht="22.05" customHeight="1" spans="1:11">
      <c r="A53" s="44"/>
      <c r="B53" s="10"/>
      <c r="C53" s="8" t="s">
        <v>368</v>
      </c>
      <c r="D53" s="44" t="s">
        <v>70</v>
      </c>
      <c r="E53" s="86">
        <f>'[1]附表C-6营造林工程投资概算'!$D$21</f>
        <v>8.33</v>
      </c>
      <c r="F53" s="92">
        <f>ROUND(E53*'[1]附表C-2营造林技术经济指标表'!$Q$12*'[1]附表C-2营造林技术经济指标表'!$Q$6,2)*0.94*0.85</f>
        <v>813.58974</v>
      </c>
      <c r="G53" s="86"/>
      <c r="H53" s="86"/>
      <c r="I53" s="65">
        <f t="shared" si="6"/>
        <v>16.27</v>
      </c>
      <c r="J53" s="65">
        <f t="shared" si="7"/>
        <v>40.68</v>
      </c>
      <c r="K53" s="47">
        <f t="shared" si="8"/>
        <v>870.53974</v>
      </c>
    </row>
    <row r="54" s="52" customFormat="1" ht="22.05" customHeight="1" spans="1:11">
      <c r="A54" s="44"/>
      <c r="B54" s="10"/>
      <c r="C54" s="8" t="s">
        <v>369</v>
      </c>
      <c r="D54" s="44" t="s">
        <v>70</v>
      </c>
      <c r="E54" s="86">
        <f>'[1]附表C-6营造林工程投资概算'!$D$21</f>
        <v>8.33</v>
      </c>
      <c r="F54" s="92">
        <f>ROUND(E54*'[1]附表C-2营造林技术经济指标表'!$Q$13*'[1]附表C-2营造林技术经济指标表'!$Q$6,2)*0.94*0.85</f>
        <v>1363.07802</v>
      </c>
      <c r="G54" s="86"/>
      <c r="H54" s="86"/>
      <c r="I54" s="65">
        <f t="shared" si="6"/>
        <v>27.26</v>
      </c>
      <c r="J54" s="65">
        <f t="shared" si="7"/>
        <v>68.15</v>
      </c>
      <c r="K54" s="47">
        <f t="shared" si="8"/>
        <v>1458.48802</v>
      </c>
    </row>
    <row r="55" s="52" customFormat="1" ht="22.05" customHeight="1" spans="1:11">
      <c r="A55" s="44"/>
      <c r="B55" s="10"/>
      <c r="C55" s="90" t="s">
        <v>370</v>
      </c>
      <c r="D55" s="44" t="s">
        <v>70</v>
      </c>
      <c r="E55" s="86">
        <f>'[1]附表C-6营造林工程投资概算'!$D$21</f>
        <v>8.33</v>
      </c>
      <c r="F55" s="92">
        <f>ROUND(E55*'[1]附表C-2营造林技术经济指标表'!$Q$14*'[1]附表C-2营造林技术经济指标表'!$Q$6,2)*0.94*0.85</f>
        <v>707.09902</v>
      </c>
      <c r="G55" s="86"/>
      <c r="H55" s="86"/>
      <c r="I55" s="65">
        <f t="shared" si="6"/>
        <v>14.14</v>
      </c>
      <c r="J55" s="65">
        <f t="shared" si="7"/>
        <v>35.35</v>
      </c>
      <c r="K55" s="47">
        <f t="shared" si="8"/>
        <v>756.58902</v>
      </c>
    </row>
    <row r="56" s="52" customFormat="1" ht="22.05" customHeight="1" spans="1:11">
      <c r="A56" s="44">
        <v>2</v>
      </c>
      <c r="B56" s="84" t="s">
        <v>382</v>
      </c>
      <c r="C56" s="8" t="s">
        <v>372</v>
      </c>
      <c r="D56" s="44" t="s">
        <v>70</v>
      </c>
      <c r="E56" s="86">
        <f>'[1]附表C-6营造林工程投资概算'!$D$21</f>
        <v>8.33</v>
      </c>
      <c r="F56" s="46">
        <f>ROUND(E56*'[1]附表C-2营造林技术经济指标表'!$Q$139*'[1]附表C-2营造林技术经济指标表'!$Q$6,2)*0.94*0.85</f>
        <v>1363.07802</v>
      </c>
      <c r="G56" s="91"/>
      <c r="H56" s="91"/>
      <c r="I56" s="65">
        <f t="shared" si="6"/>
        <v>27.26</v>
      </c>
      <c r="J56" s="65">
        <f t="shared" si="7"/>
        <v>68.15</v>
      </c>
      <c r="K56" s="47">
        <f t="shared" si="8"/>
        <v>1458.48802</v>
      </c>
    </row>
    <row r="57" s="52" customFormat="1" ht="22.05" customHeight="1" spans="1:11">
      <c r="A57" s="44">
        <v>3</v>
      </c>
      <c r="B57" s="10" t="s">
        <v>383</v>
      </c>
      <c r="C57" s="10" t="s">
        <v>105</v>
      </c>
      <c r="D57" s="44" t="s">
        <v>70</v>
      </c>
      <c r="E57" s="86">
        <f>'[1]附表C-6营造林工程投资概算'!$D$21</f>
        <v>8.33</v>
      </c>
      <c r="F57" s="46"/>
      <c r="G57" s="86"/>
      <c r="H57" s="86"/>
      <c r="I57" s="65"/>
      <c r="J57" s="65"/>
      <c r="K57" s="47"/>
    </row>
    <row r="58" s="52" customFormat="1" ht="22.05" customHeight="1" spans="1:13">
      <c r="A58" s="44" t="s">
        <v>8</v>
      </c>
      <c r="B58" s="44" t="s">
        <v>8</v>
      </c>
      <c r="C58" s="44" t="s">
        <v>106</v>
      </c>
      <c r="D58" s="44" t="s">
        <v>8</v>
      </c>
      <c r="E58" s="86" t="s">
        <v>8</v>
      </c>
      <c r="F58" s="46">
        <f>SUM(F48,F56:F57)</f>
        <v>7648.69117</v>
      </c>
      <c r="G58" s="86"/>
      <c r="H58" s="44" t="s">
        <v>0</v>
      </c>
      <c r="I58" s="53">
        <f>SUM(I48,I56:I57)</f>
        <v>152.96</v>
      </c>
      <c r="J58" s="53">
        <f>SUM(J48,J56:J57)</f>
        <v>382.42</v>
      </c>
      <c r="K58" s="47">
        <f t="shared" si="8"/>
        <v>8184.07117</v>
      </c>
      <c r="M58" s="52">
        <f>ROUND(K58/E57,2)</f>
        <v>982.48</v>
      </c>
    </row>
    <row r="59" ht="122.4" customHeight="1"/>
    <row r="60" spans="7:11">
      <c r="G60" s="28"/>
      <c r="H60" s="28"/>
      <c r="I60" s="28"/>
      <c r="J60" s="28"/>
      <c r="K60" s="28"/>
    </row>
  </sheetData>
  <mergeCells count="60">
    <mergeCell ref="A1:B1"/>
    <mergeCell ref="C1:I1"/>
    <mergeCell ref="J1:K1"/>
    <mergeCell ref="A2:K2"/>
    <mergeCell ref="A3:B3"/>
    <mergeCell ref="C3:I3"/>
    <mergeCell ref="J3:K3"/>
    <mergeCell ref="A4:B4"/>
    <mergeCell ref="C4:I4"/>
    <mergeCell ref="J4:K4"/>
    <mergeCell ref="A5:B5"/>
    <mergeCell ref="C5:I5"/>
    <mergeCell ref="J5:K5"/>
    <mergeCell ref="F6:K6"/>
    <mergeCell ref="G20:K20"/>
    <mergeCell ref="A21:B21"/>
    <mergeCell ref="C21:I21"/>
    <mergeCell ref="J21:K21"/>
    <mergeCell ref="A22:K22"/>
    <mergeCell ref="A23:B23"/>
    <mergeCell ref="C23:I23"/>
    <mergeCell ref="J23:K23"/>
    <mergeCell ref="A24:B24"/>
    <mergeCell ref="C24:I24"/>
    <mergeCell ref="J24:K24"/>
    <mergeCell ref="A25:B25"/>
    <mergeCell ref="C25:I25"/>
    <mergeCell ref="J25:K25"/>
    <mergeCell ref="F26:K26"/>
    <mergeCell ref="G40:K40"/>
    <mergeCell ref="A41:B41"/>
    <mergeCell ref="C41:I41"/>
    <mergeCell ref="J41:K41"/>
    <mergeCell ref="A42:K42"/>
    <mergeCell ref="A43:B43"/>
    <mergeCell ref="C43:I43"/>
    <mergeCell ref="J43:K43"/>
    <mergeCell ref="A44:B44"/>
    <mergeCell ref="C44:I44"/>
    <mergeCell ref="J44:K44"/>
    <mergeCell ref="A45:B45"/>
    <mergeCell ref="C45:I45"/>
    <mergeCell ref="J45:K45"/>
    <mergeCell ref="F46:K46"/>
    <mergeCell ref="G60:K60"/>
    <mergeCell ref="A6:A7"/>
    <mergeCell ref="A26:A27"/>
    <mergeCell ref="A46:A47"/>
    <mergeCell ref="B6:B7"/>
    <mergeCell ref="B26:B27"/>
    <mergeCell ref="B46:B47"/>
    <mergeCell ref="C6:C7"/>
    <mergeCell ref="C26:C27"/>
    <mergeCell ref="C46:C47"/>
    <mergeCell ref="D6:D7"/>
    <mergeCell ref="D26:D27"/>
    <mergeCell ref="D46:D47"/>
    <mergeCell ref="E6:E7"/>
    <mergeCell ref="E26:E27"/>
    <mergeCell ref="E46:E4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showZeros="0" workbookViewId="0">
      <selection activeCell="F56" sqref="F56:K70"/>
    </sheetView>
  </sheetViews>
  <sheetFormatPr defaultColWidth="8.88888888888889" defaultRowHeight="14.4"/>
  <cols>
    <col min="1" max="1" width="6.44444444444444" style="1" customWidth="1"/>
    <col min="2" max="2" width="13.3333333333333" style="1" customWidth="1"/>
    <col min="3" max="3" width="18.1111111111111" style="1" customWidth="1"/>
    <col min="4" max="11" width="10.4444444444444" style="1" customWidth="1"/>
    <col min="12" max="12" width="12.6666666666667" style="1" customWidth="1"/>
    <col min="13" max="13" width="11.4444444444444" style="1" customWidth="1"/>
    <col min="14" max="16384" width="8.88888888888889" style="1"/>
  </cols>
  <sheetData>
    <row r="1" ht="25.8" customHeight="1" spans="1:11">
      <c r="A1" s="41" t="s">
        <v>0</v>
      </c>
      <c r="B1" s="41" t="s">
        <v>0</v>
      </c>
      <c r="C1" s="51" t="s">
        <v>358</v>
      </c>
      <c r="D1" s="51" t="s">
        <v>0</v>
      </c>
      <c r="E1" s="51" t="s">
        <v>0</v>
      </c>
      <c r="F1" s="51" t="s">
        <v>0</v>
      </c>
      <c r="G1" s="51" t="s">
        <v>0</v>
      </c>
      <c r="H1" s="51" t="s">
        <v>0</v>
      </c>
      <c r="I1" s="51" t="s">
        <v>0</v>
      </c>
      <c r="J1" s="49" t="s">
        <v>78</v>
      </c>
      <c r="K1" s="49" t="s">
        <v>0</v>
      </c>
    </row>
    <row r="2" spans="1:11">
      <c r="A2" s="43" t="s">
        <v>79</v>
      </c>
      <c r="B2" s="43" t="s">
        <v>0</v>
      </c>
      <c r="C2" s="43" t="s">
        <v>0</v>
      </c>
      <c r="D2" s="43" t="s">
        <v>0</v>
      </c>
      <c r="E2" s="43" t="s">
        <v>0</v>
      </c>
      <c r="F2" s="43" t="s">
        <v>0</v>
      </c>
      <c r="G2" s="43" t="s">
        <v>0</v>
      </c>
      <c r="H2" s="43" t="s">
        <v>0</v>
      </c>
      <c r="I2" s="43" t="s">
        <v>0</v>
      </c>
      <c r="J2" s="43" t="s">
        <v>0</v>
      </c>
      <c r="K2" s="43" t="s">
        <v>0</v>
      </c>
    </row>
    <row r="3" spans="1:11">
      <c r="A3" s="28" t="s">
        <v>22</v>
      </c>
      <c r="B3" s="28" t="s">
        <v>0</v>
      </c>
      <c r="C3" s="17" t="s">
        <v>359</v>
      </c>
      <c r="D3" s="17" t="s">
        <v>0</v>
      </c>
      <c r="E3" s="17" t="s">
        <v>0</v>
      </c>
      <c r="F3" s="17" t="s">
        <v>0</v>
      </c>
      <c r="G3" s="17" t="s">
        <v>0</v>
      </c>
      <c r="H3" s="17" t="s">
        <v>0</v>
      </c>
      <c r="I3" s="17" t="s">
        <v>0</v>
      </c>
      <c r="J3" s="17" t="s">
        <v>81</v>
      </c>
      <c r="K3" s="17" t="s">
        <v>0</v>
      </c>
    </row>
    <row r="4" spans="1:11">
      <c r="A4" s="28" t="s">
        <v>82</v>
      </c>
      <c r="B4" s="28" t="s">
        <v>0</v>
      </c>
      <c r="C4" s="17" t="s">
        <v>360</v>
      </c>
      <c r="D4" s="17" t="s">
        <v>0</v>
      </c>
      <c r="E4" s="17" t="s">
        <v>0</v>
      </c>
      <c r="F4" s="17" t="s">
        <v>0</v>
      </c>
      <c r="G4" s="17" t="s">
        <v>0</v>
      </c>
      <c r="H4" s="17" t="s">
        <v>0</v>
      </c>
      <c r="I4" s="17" t="s">
        <v>0</v>
      </c>
      <c r="J4" s="17" t="str">
        <f>'D3-3 分部分项工程量清单综合单价计算表(分页不带材料)~2'!J4:K4</f>
        <v>工程数量：963.67</v>
      </c>
      <c r="K4" s="17" t="s">
        <v>0</v>
      </c>
    </row>
    <row r="5" spans="1:11">
      <c r="A5" s="28" t="s">
        <v>84</v>
      </c>
      <c r="B5" s="28" t="s">
        <v>0</v>
      </c>
      <c r="C5" s="17" t="s">
        <v>361</v>
      </c>
      <c r="D5" s="17" t="s">
        <v>0</v>
      </c>
      <c r="E5" s="17" t="s">
        <v>0</v>
      </c>
      <c r="F5" s="17" t="s">
        <v>0</v>
      </c>
      <c r="G5" s="17" t="s">
        <v>0</v>
      </c>
      <c r="H5" s="17" t="s">
        <v>0</v>
      </c>
      <c r="I5" s="17" t="s">
        <v>0</v>
      </c>
      <c r="J5" s="17" t="str">
        <f>'D3-3 分部分项工程量清单综合单价计算表(分页不带材料)~2'!J5:K5</f>
        <v>综合单价：982.49元</v>
      </c>
      <c r="K5" s="17" t="s">
        <v>0</v>
      </c>
    </row>
    <row r="6" spans="1:11">
      <c r="A6" s="44" t="s">
        <v>28</v>
      </c>
      <c r="B6" s="44" t="s">
        <v>86</v>
      </c>
      <c r="C6" s="44" t="s">
        <v>87</v>
      </c>
      <c r="D6" s="44" t="s">
        <v>57</v>
      </c>
      <c r="E6" s="44" t="s">
        <v>88</v>
      </c>
      <c r="F6" s="44" t="s">
        <v>89</v>
      </c>
      <c r="G6" s="44" t="s">
        <v>0</v>
      </c>
      <c r="H6" s="44" t="s">
        <v>0</v>
      </c>
      <c r="I6" s="44" t="s">
        <v>0</v>
      </c>
      <c r="J6" s="44" t="s">
        <v>0</v>
      </c>
      <c r="K6" s="44" t="s">
        <v>0</v>
      </c>
    </row>
    <row r="7" spans="1:11">
      <c r="A7" s="44" t="s">
        <v>0</v>
      </c>
      <c r="B7" s="44" t="s">
        <v>0</v>
      </c>
      <c r="C7" s="44" t="s">
        <v>0</v>
      </c>
      <c r="D7" s="44" t="s">
        <v>0</v>
      </c>
      <c r="E7" s="44" t="s">
        <v>0</v>
      </c>
      <c r="F7" s="45" t="s">
        <v>63</v>
      </c>
      <c r="G7" s="44" t="s">
        <v>64</v>
      </c>
      <c r="H7" s="44" t="s">
        <v>65</v>
      </c>
      <c r="I7" s="44" t="s">
        <v>66</v>
      </c>
      <c r="J7" s="44" t="s">
        <v>67</v>
      </c>
      <c r="K7" s="44" t="s">
        <v>90</v>
      </c>
    </row>
    <row r="8" spans="1:11">
      <c r="A8" s="44">
        <v>3</v>
      </c>
      <c r="B8" s="10" t="s">
        <v>362</v>
      </c>
      <c r="C8" s="10" t="s">
        <v>363</v>
      </c>
      <c r="D8" s="44" t="s">
        <v>70</v>
      </c>
      <c r="E8" s="44">
        <f>'[1]附表C-6营造林工程投资概算'!$D$19</f>
        <v>963.67</v>
      </c>
      <c r="F8" s="46">
        <f>SUM(F9:F15)</f>
        <v>727161.87005</v>
      </c>
      <c r="G8" s="47" t="s">
        <v>0</v>
      </c>
      <c r="H8" s="47" t="s">
        <v>0</v>
      </c>
      <c r="I8" s="46">
        <f>SUM(I9:I15)</f>
        <v>14543.26</v>
      </c>
      <c r="J8" s="46">
        <f>SUM(J9:J15)</f>
        <v>36358.09</v>
      </c>
      <c r="K8" s="47">
        <f>SUM(F8:J8)</f>
        <v>778063.22005</v>
      </c>
    </row>
    <row r="9" spans="1:11">
      <c r="A9" s="44"/>
      <c r="B9" s="10"/>
      <c r="C9" s="10" t="s">
        <v>364</v>
      </c>
      <c r="D9" s="44" t="s">
        <v>137</v>
      </c>
      <c r="E9" s="44">
        <f>ROUND(E$8*'[1]附表C-2营造林技术经济指标表'!$O$8,2)</f>
        <v>452.92</v>
      </c>
      <c r="F9" s="47">
        <f>ROUND(E$8*'[1]附表C-2营造林技术经济指标表'!$O$8*'[1]附表C-2营造林技术经济指标表'!$O$7,2)*0.94*0.85</f>
        <v>83957.78542</v>
      </c>
      <c r="G9" s="47"/>
      <c r="H9" s="47"/>
      <c r="I9" s="67">
        <f t="shared" ref="I9" si="0">ROUND(F9*0.02,2)</f>
        <v>1679.16</v>
      </c>
      <c r="J9" s="67">
        <f t="shared" ref="J9" si="1">ROUND(F9*0.05,2)</f>
        <v>4197.89</v>
      </c>
      <c r="K9" s="47"/>
    </row>
    <row r="10" spans="1:11">
      <c r="A10" s="44"/>
      <c r="B10" s="10"/>
      <c r="C10" s="10" t="s">
        <v>365</v>
      </c>
      <c r="D10" s="44" t="s">
        <v>137</v>
      </c>
      <c r="E10" s="44">
        <f>ROUND(E$8*'[1]附表C-2营造林技术经济指标表'!$O$9,2)</f>
        <v>139.73</v>
      </c>
      <c r="F10" s="47">
        <f>ROUND(E$8*'[1]附表C-2营造林技术经济指标表'!$O$9*'[1]附表C-2营造林技术经济指标表'!$O$7,2)*0.94*0.85</f>
        <v>25901.87014</v>
      </c>
      <c r="G10" s="47"/>
      <c r="H10" s="47"/>
      <c r="I10" s="67">
        <f t="shared" ref="I10:I15" si="2">ROUND(F10*0.02,2)</f>
        <v>518.04</v>
      </c>
      <c r="J10" s="67">
        <f t="shared" ref="J10:J15" si="3">ROUND(F10*0.05,2)</f>
        <v>1295.09</v>
      </c>
      <c r="K10" s="47"/>
    </row>
    <row r="11" spans="1:11">
      <c r="A11" s="44"/>
      <c r="B11" s="10"/>
      <c r="C11" s="10" t="s">
        <v>366</v>
      </c>
      <c r="D11" s="44" t="s">
        <v>137</v>
      </c>
      <c r="E11" s="44">
        <f>ROUND($E$8*'[1]附表C-2营造林技术经济指标表'!$O$10,2)</f>
        <v>496.29</v>
      </c>
      <c r="F11" s="47">
        <f>ROUND($E$8*'[1]附表C-2营造林技术经济指标表'!$O$10*'[1]附表C-2营造林技术经济指标表'!$O$7,2)*0.94*0.85</f>
        <v>91996.29271</v>
      </c>
      <c r="G11" s="47" t="s">
        <v>8</v>
      </c>
      <c r="H11" s="47" t="s">
        <v>8</v>
      </c>
      <c r="I11" s="67">
        <f t="shared" si="2"/>
        <v>1839.93</v>
      </c>
      <c r="J11" s="67">
        <f t="shared" si="3"/>
        <v>4599.81</v>
      </c>
      <c r="K11" s="47" t="s">
        <v>8</v>
      </c>
    </row>
    <row r="12" spans="1:11">
      <c r="A12" s="44"/>
      <c r="B12" s="10"/>
      <c r="C12" s="10" t="s">
        <v>367</v>
      </c>
      <c r="D12" s="44" t="s">
        <v>137</v>
      </c>
      <c r="E12" s="44">
        <f>ROUND($E$8*'[1]附表C-2营造林技术经济指标表'!$O$11,2)</f>
        <v>1874.34</v>
      </c>
      <c r="F12" s="47">
        <f>ROUND($E$8*'[1]附表C-2营造林技术经济指标表'!$O$11*'[1]附表C-2营造林技术经济指标表'!$O$6,2)*0.94*0.85</f>
        <v>191692.30872</v>
      </c>
      <c r="G12" s="47" t="s">
        <v>8</v>
      </c>
      <c r="H12" s="47" t="s">
        <v>8</v>
      </c>
      <c r="I12" s="67">
        <f t="shared" si="2"/>
        <v>3833.85</v>
      </c>
      <c r="J12" s="67">
        <f t="shared" si="3"/>
        <v>9584.62</v>
      </c>
      <c r="K12" s="47" t="s">
        <v>8</v>
      </c>
    </row>
    <row r="13" spans="1:11">
      <c r="A13" s="44"/>
      <c r="B13" s="10"/>
      <c r="C13" s="10" t="s">
        <v>384</v>
      </c>
      <c r="D13" s="44" t="s">
        <v>137</v>
      </c>
      <c r="E13" s="44">
        <f>ROUND($E$8*'[1]附表C-2营造林技术经济指标表'!$O$12,2)</f>
        <v>920.3</v>
      </c>
      <c r="F13" s="47">
        <f>ROUND($E$8*'[1]附表C-2营造林技术经济指标表'!$O$12*'[1]附表C-2营造林技术经济指标表'!$O$6,2)*0.94*0.85</f>
        <v>94121.41698</v>
      </c>
      <c r="G13" s="47" t="s">
        <v>8</v>
      </c>
      <c r="H13" s="47" t="s">
        <v>8</v>
      </c>
      <c r="I13" s="67">
        <f t="shared" si="2"/>
        <v>1882.43</v>
      </c>
      <c r="J13" s="67">
        <f t="shared" si="3"/>
        <v>4706.07</v>
      </c>
      <c r="K13" s="47" t="s">
        <v>8</v>
      </c>
    </row>
    <row r="14" spans="1:11">
      <c r="A14" s="44"/>
      <c r="B14" s="10"/>
      <c r="C14" s="10" t="s">
        <v>385</v>
      </c>
      <c r="D14" s="44" t="s">
        <v>137</v>
      </c>
      <c r="E14" s="44">
        <f>ROUND($E$8*'[1]附表C-2营造林技术经济指标表'!$O$13,2)</f>
        <v>1541.87</v>
      </c>
      <c r="F14" s="47">
        <f>ROUND($E$8*'[1]附表C-2营造林技术经济指标表'!$O$13*'[1]附表C-2营造林技术经济指标表'!$O$6,2)*0.94*0.85</f>
        <v>157690.33638</v>
      </c>
      <c r="G14" s="47" t="s">
        <v>8</v>
      </c>
      <c r="H14" s="47" t="s">
        <v>8</v>
      </c>
      <c r="I14" s="67">
        <f t="shared" si="2"/>
        <v>3153.81</v>
      </c>
      <c r="J14" s="67">
        <f t="shared" si="3"/>
        <v>7884.52</v>
      </c>
      <c r="K14" s="47" t="s">
        <v>8</v>
      </c>
    </row>
    <row r="15" spans="1:11">
      <c r="A15" s="44"/>
      <c r="B15" s="10"/>
      <c r="C15" s="10" t="s">
        <v>386</v>
      </c>
      <c r="D15" s="44" t="s">
        <v>137</v>
      </c>
      <c r="E15" s="44">
        <f>ROUND($E$8*'[1]附表C-2营造林技术经济指标表'!$O$14,2)</f>
        <v>799.85</v>
      </c>
      <c r="F15" s="47">
        <f>ROUND($E$8*'[1]附表C-2营造林技术经济指标表'!$O$14*'[1]附表C-2营造林技术经济指标表'!$O$6,2)*0.94*0.85</f>
        <v>81801.8597</v>
      </c>
      <c r="G15" s="47" t="s">
        <v>8</v>
      </c>
      <c r="H15" s="47" t="s">
        <v>8</v>
      </c>
      <c r="I15" s="67">
        <f t="shared" si="2"/>
        <v>1636.04</v>
      </c>
      <c r="J15" s="67">
        <f t="shared" si="3"/>
        <v>4090.09</v>
      </c>
      <c r="K15" s="47" t="s">
        <v>8</v>
      </c>
    </row>
    <row r="16" spans="1:11">
      <c r="A16" s="44">
        <v>4</v>
      </c>
      <c r="B16" s="84" t="s">
        <v>377</v>
      </c>
      <c r="C16" s="8" t="s">
        <v>372</v>
      </c>
      <c r="D16" s="44" t="s">
        <v>70</v>
      </c>
      <c r="E16" s="44">
        <f>'[1]附表C-6营造林工程投资概算'!$D$19</f>
        <v>963.67</v>
      </c>
      <c r="F16" s="46">
        <f>F17</f>
        <v>157690.33638</v>
      </c>
      <c r="G16" s="47"/>
      <c r="H16" s="47"/>
      <c r="I16" s="67">
        <f t="shared" ref="I16" si="4">ROUND(F16*0.02,2)</f>
        <v>3153.81</v>
      </c>
      <c r="J16" s="67">
        <f t="shared" ref="J16" si="5">ROUND(F16*0.05,2)</f>
        <v>7884.52</v>
      </c>
      <c r="K16" s="47">
        <f>SUM(F16:J16)</f>
        <v>168728.66638</v>
      </c>
    </row>
    <row r="17" spans="1:11">
      <c r="A17" s="44"/>
      <c r="B17" s="84"/>
      <c r="C17" s="8" t="s">
        <v>372</v>
      </c>
      <c r="D17" s="44" t="s">
        <v>137</v>
      </c>
      <c r="E17" s="44">
        <f>ROUND(E16*'[1]附表C-2营造林技术经济指标表'!$O$139,2)</f>
        <v>1541.87</v>
      </c>
      <c r="F17" s="46">
        <f>ROUND(E16*'[1]附表C-2营造林技术经济指标表'!$O$140,2)*0.94*0.85</f>
        <v>157690.33638</v>
      </c>
      <c r="G17" s="47"/>
      <c r="H17" s="47"/>
      <c r="I17" s="67">
        <f t="shared" ref="I17" si="6">ROUND(F17*0.02,2)</f>
        <v>3153.81</v>
      </c>
      <c r="J17" s="67">
        <f t="shared" ref="J17" si="7">ROUND(F17*0.05,2)</f>
        <v>7884.52</v>
      </c>
      <c r="K17" s="47"/>
    </row>
    <row r="18" spans="1:11">
      <c r="A18" s="44">
        <v>5</v>
      </c>
      <c r="B18" s="10" t="s">
        <v>373</v>
      </c>
      <c r="C18" s="10" t="s">
        <v>105</v>
      </c>
      <c r="D18" s="44" t="s">
        <v>70</v>
      </c>
      <c r="E18" s="44">
        <f>'[1]附表C-6营造林工程投资概算'!$D$19</f>
        <v>963.67</v>
      </c>
      <c r="F18" s="46">
        <f>SUM(F19:F21)</f>
        <v>0</v>
      </c>
      <c r="G18" s="47" t="s">
        <v>0</v>
      </c>
      <c r="H18" s="47" t="s">
        <v>0</v>
      </c>
      <c r="I18" s="67">
        <f t="shared" ref="I18" si="8">ROUND(F18*0.02,2)</f>
        <v>0</v>
      </c>
      <c r="J18" s="67">
        <f t="shared" ref="J18" si="9">ROUND(F18*0.05,2)</f>
        <v>0</v>
      </c>
      <c r="K18" s="47">
        <f>SUM(F18:J18)</f>
        <v>0</v>
      </c>
    </row>
    <row r="19" spans="1:11">
      <c r="A19" s="44"/>
      <c r="B19" s="44" t="s">
        <v>8</v>
      </c>
      <c r="C19" s="10" t="s">
        <v>175</v>
      </c>
      <c r="D19" s="44" t="s">
        <v>176</v>
      </c>
      <c r="E19" s="44">
        <v>3</v>
      </c>
      <c r="F19" s="46" t="s">
        <v>8</v>
      </c>
      <c r="G19" s="47" t="s">
        <v>8</v>
      </c>
      <c r="H19" s="47" t="s">
        <v>8</v>
      </c>
      <c r="I19" s="47" t="s">
        <v>8</v>
      </c>
      <c r="J19" s="47" t="s">
        <v>8</v>
      </c>
      <c r="K19" s="47" t="s">
        <v>8</v>
      </c>
    </row>
    <row r="20" spans="1:11">
      <c r="A20" s="44"/>
      <c r="B20" s="44" t="s">
        <v>8</v>
      </c>
      <c r="C20" s="10" t="s">
        <v>179</v>
      </c>
      <c r="D20" s="44" t="s">
        <v>180</v>
      </c>
      <c r="E20" s="44">
        <f>ROUND('[1]附表C-2营造林技术经济指标表'!$O$143/3*'[1]附表C-2营造林技术经济指标表'!$O$6,2)</f>
        <v>10.67</v>
      </c>
      <c r="F20" s="46" t="s">
        <v>8</v>
      </c>
      <c r="G20" s="47" t="s">
        <v>8</v>
      </c>
      <c r="H20" s="47" t="s">
        <v>8</v>
      </c>
      <c r="I20" s="47" t="s">
        <v>8</v>
      </c>
      <c r="J20" s="47" t="s">
        <v>8</v>
      </c>
      <c r="K20" s="47" t="s">
        <v>8</v>
      </c>
    </row>
    <row r="21" spans="1:11">
      <c r="A21" s="44"/>
      <c r="B21" s="44" t="s">
        <v>8</v>
      </c>
      <c r="C21" s="10" t="s">
        <v>181</v>
      </c>
      <c r="D21" s="44" t="s">
        <v>137</v>
      </c>
      <c r="E21" s="44">
        <f>ROUND(E18*'[1]附表C-2营造林技术经济指标表'!$O$143,2)</f>
        <v>240.92</v>
      </c>
      <c r="F21" s="46"/>
      <c r="G21" s="47"/>
      <c r="H21" s="47"/>
      <c r="I21" s="67"/>
      <c r="J21" s="67"/>
      <c r="K21" s="47" t="s">
        <v>8</v>
      </c>
    </row>
    <row r="22" spans="1:13">
      <c r="A22" s="44" t="s">
        <v>8</v>
      </c>
      <c r="B22" s="44" t="s">
        <v>8</v>
      </c>
      <c r="C22" s="44" t="s">
        <v>106</v>
      </c>
      <c r="D22" s="44" t="s">
        <v>8</v>
      </c>
      <c r="E22" s="44" t="s">
        <v>8</v>
      </c>
      <c r="F22" s="46">
        <f>SUM(F8,F16,F18)</f>
        <v>884852.20643</v>
      </c>
      <c r="G22" s="47"/>
      <c r="H22" s="47" t="s">
        <v>0</v>
      </c>
      <c r="I22" s="46">
        <f>SUM(I8,I16,I18)</f>
        <v>17697.07</v>
      </c>
      <c r="J22" s="46">
        <f>SUM(J8,J16,J18)</f>
        <v>44242.61</v>
      </c>
      <c r="K22" s="47">
        <f>SUM(F22:J22)</f>
        <v>946791.88643</v>
      </c>
      <c r="M22" s="1">
        <f>ROUND(K22/E16,2)</f>
        <v>982.49</v>
      </c>
    </row>
    <row r="23" ht="160.8" customHeight="1" spans="1:1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>
      <c r="A24" s="17" t="s">
        <v>0</v>
      </c>
      <c r="B24" s="17" t="s">
        <v>0</v>
      </c>
      <c r="C24" s="17" t="s">
        <v>0</v>
      </c>
      <c r="D24" s="17" t="s">
        <v>0</v>
      </c>
      <c r="E24" s="17" t="s">
        <v>0</v>
      </c>
      <c r="F24" s="17" t="s">
        <v>0</v>
      </c>
      <c r="G24" s="28"/>
      <c r="H24" s="28"/>
      <c r="I24" s="28"/>
      <c r="J24" s="28"/>
      <c r="K24" s="28"/>
    </row>
    <row r="25" ht="24.6" customHeight="1" spans="1:11">
      <c r="A25" s="41" t="s">
        <v>0</v>
      </c>
      <c r="B25" s="41" t="s">
        <v>0</v>
      </c>
      <c r="C25" s="51" t="s">
        <v>358</v>
      </c>
      <c r="D25" s="51" t="s">
        <v>0</v>
      </c>
      <c r="E25" s="51" t="s">
        <v>0</v>
      </c>
      <c r="F25" s="51" t="s">
        <v>0</v>
      </c>
      <c r="G25" s="51" t="s">
        <v>0</v>
      </c>
      <c r="H25" s="51" t="s">
        <v>0</v>
      </c>
      <c r="I25" s="51" t="s">
        <v>0</v>
      </c>
      <c r="J25" s="49" t="s">
        <v>107</v>
      </c>
      <c r="K25" s="49" t="s">
        <v>0</v>
      </c>
    </row>
    <row r="26" spans="1:11">
      <c r="A26" s="43" t="s">
        <v>79</v>
      </c>
      <c r="B26" s="43" t="s">
        <v>0</v>
      </c>
      <c r="C26" s="43" t="s">
        <v>0</v>
      </c>
      <c r="D26" s="43" t="s">
        <v>0</v>
      </c>
      <c r="E26" s="43" t="s">
        <v>0</v>
      </c>
      <c r="F26" s="43" t="s">
        <v>0</v>
      </c>
      <c r="G26" s="43" t="s">
        <v>0</v>
      </c>
      <c r="H26" s="43" t="s">
        <v>0</v>
      </c>
      <c r="I26" s="43" t="s">
        <v>0</v>
      </c>
      <c r="J26" s="43" t="s">
        <v>0</v>
      </c>
      <c r="K26" s="43" t="s">
        <v>0</v>
      </c>
    </row>
    <row r="27" spans="1:11">
      <c r="A27" s="28" t="s">
        <v>22</v>
      </c>
      <c r="B27" s="28" t="s">
        <v>0</v>
      </c>
      <c r="C27" s="17" t="s">
        <v>359</v>
      </c>
      <c r="D27" s="17" t="s">
        <v>0</v>
      </c>
      <c r="E27" s="17" t="s">
        <v>0</v>
      </c>
      <c r="F27" s="17" t="s">
        <v>0</v>
      </c>
      <c r="G27" s="17" t="s">
        <v>0</v>
      </c>
      <c r="H27" s="17" t="s">
        <v>0</v>
      </c>
      <c r="I27" s="17" t="s">
        <v>0</v>
      </c>
      <c r="J27" s="17" t="s">
        <v>81</v>
      </c>
      <c r="K27" s="17" t="s">
        <v>0</v>
      </c>
    </row>
    <row r="28" spans="1:11">
      <c r="A28" s="28" t="s">
        <v>82</v>
      </c>
      <c r="B28" s="28" t="s">
        <v>0</v>
      </c>
      <c r="C28" s="17" t="s">
        <v>374</v>
      </c>
      <c r="D28" s="17" t="s">
        <v>0</v>
      </c>
      <c r="E28" s="17" t="s">
        <v>0</v>
      </c>
      <c r="F28" s="17" t="s">
        <v>0</v>
      </c>
      <c r="G28" s="17" t="s">
        <v>0</v>
      </c>
      <c r="H28" s="17" t="s">
        <v>0</v>
      </c>
      <c r="I28" s="17" t="s">
        <v>0</v>
      </c>
      <c r="J28" s="17" t="str">
        <f>'D3-3 分部分项工程量清单综合单价计算表(分页不带材料)~2'!J24:K24</f>
        <v>工程数量：193.55</v>
      </c>
      <c r="K28" s="17" t="s">
        <v>0</v>
      </c>
    </row>
    <row r="29" spans="1:11">
      <c r="A29" s="28" t="s">
        <v>84</v>
      </c>
      <c r="B29" s="28" t="s">
        <v>0</v>
      </c>
      <c r="C29" s="17" t="s">
        <v>375</v>
      </c>
      <c r="D29" s="17" t="s">
        <v>0</v>
      </c>
      <c r="E29" s="17" t="s">
        <v>0</v>
      </c>
      <c r="F29" s="17" t="s">
        <v>0</v>
      </c>
      <c r="G29" s="17" t="s">
        <v>0</v>
      </c>
      <c r="H29" s="17" t="s">
        <v>0</v>
      </c>
      <c r="I29" s="17" t="s">
        <v>0</v>
      </c>
      <c r="J29" s="17" t="str">
        <f>'D3-3 分部分项工程量清单综合单价计算表(分页不带材料)~2'!J25:K25</f>
        <v>综合单价：982.49元</v>
      </c>
      <c r="K29" s="17" t="s">
        <v>0</v>
      </c>
    </row>
    <row r="30" spans="1:11">
      <c r="A30" s="44" t="s">
        <v>28</v>
      </c>
      <c r="B30" s="44" t="s">
        <v>86</v>
      </c>
      <c r="C30" s="44" t="s">
        <v>87</v>
      </c>
      <c r="D30" s="44" t="s">
        <v>57</v>
      </c>
      <c r="E30" s="44" t="s">
        <v>88</v>
      </c>
      <c r="F30" s="44" t="s">
        <v>89</v>
      </c>
      <c r="G30" s="44" t="s">
        <v>0</v>
      </c>
      <c r="H30" s="44" t="s">
        <v>0</v>
      </c>
      <c r="I30" s="44" t="s">
        <v>0</v>
      </c>
      <c r="J30" s="44" t="s">
        <v>0</v>
      </c>
      <c r="K30" s="44" t="s">
        <v>0</v>
      </c>
    </row>
    <row r="31" spans="1:11">
      <c r="A31" s="44" t="s">
        <v>0</v>
      </c>
      <c r="B31" s="44" t="s">
        <v>0</v>
      </c>
      <c r="C31" s="44" t="s">
        <v>0</v>
      </c>
      <c r="D31" s="44" t="s">
        <v>0</v>
      </c>
      <c r="E31" s="44" t="s">
        <v>0</v>
      </c>
      <c r="F31" s="45" t="s">
        <v>63</v>
      </c>
      <c r="G31" s="44" t="s">
        <v>64</v>
      </c>
      <c r="H31" s="44" t="s">
        <v>65</v>
      </c>
      <c r="I31" s="44" t="s">
        <v>66</v>
      </c>
      <c r="J31" s="44" t="s">
        <v>67</v>
      </c>
      <c r="K31" s="44" t="s">
        <v>90</v>
      </c>
    </row>
    <row r="32" spans="1:11">
      <c r="A32" s="44">
        <v>3</v>
      </c>
      <c r="B32" s="10" t="s">
        <v>376</v>
      </c>
      <c r="C32" s="10" t="s">
        <v>363</v>
      </c>
      <c r="D32" s="44" t="s">
        <v>70</v>
      </c>
      <c r="E32" s="44">
        <f>'[1]附表C-6营造林工程投资概算'!$D$20</f>
        <v>193.55</v>
      </c>
      <c r="F32" s="46">
        <f>SUM(F33:F39)</f>
        <v>146048.09939</v>
      </c>
      <c r="G32" s="47" t="s">
        <v>0</v>
      </c>
      <c r="H32" s="47" t="s">
        <v>0</v>
      </c>
      <c r="I32" s="46">
        <f>SUM(I33:I39)</f>
        <v>2920.96</v>
      </c>
      <c r="J32" s="46">
        <f>SUM(J33:J39)</f>
        <v>7302.41</v>
      </c>
      <c r="K32" s="47">
        <f>SUM(F32:J32)</f>
        <v>156271.46939</v>
      </c>
    </row>
    <row r="33" spans="1:11">
      <c r="A33" s="44"/>
      <c r="B33" s="10"/>
      <c r="C33" s="10" t="s">
        <v>364</v>
      </c>
      <c r="D33" s="44" t="s">
        <v>137</v>
      </c>
      <c r="E33" s="44">
        <f>ROUND(E32*'[1]附表C-2营造林技术经济指标表'!$P$8,2)</f>
        <v>90.97</v>
      </c>
      <c r="F33" s="47">
        <f>ROUND(E32*'[1]附表C-2营造林技术经济指标表'!$P$8*'[1]附表C-2营造林技术经济指标表'!$P$7,2)*0.94*0.85</f>
        <v>16862.64731</v>
      </c>
      <c r="G33" s="47"/>
      <c r="H33" s="47"/>
      <c r="I33" s="67">
        <f t="shared" ref="I33:I42" si="10">ROUND(F33*0.02,2)</f>
        <v>337.25</v>
      </c>
      <c r="J33" s="67">
        <f t="shared" ref="J33:J42" si="11">ROUND(F33*0.05,2)</f>
        <v>843.13</v>
      </c>
      <c r="K33" s="47">
        <f t="shared" ref="K33:K46" si="12">SUM(F33:J33)</f>
        <v>18043.02731</v>
      </c>
    </row>
    <row r="34" spans="1:11">
      <c r="A34" s="44"/>
      <c r="B34" s="10"/>
      <c r="C34" s="10" t="s">
        <v>365</v>
      </c>
      <c r="D34" s="44" t="s">
        <v>137</v>
      </c>
      <c r="E34" s="44">
        <f>ROUND(E32*'[1]附表C-2营造林技术经济指标表'!$P$9,2)</f>
        <v>28.06</v>
      </c>
      <c r="F34" s="47">
        <f>ROUND(E32*'[1]附表C-2营造林技术经济指标表'!$P$9*'[1]附表C-2营造林技术经济指标表'!$P$7,2)*0.94*0.85</f>
        <v>5202.30498</v>
      </c>
      <c r="G34" s="47"/>
      <c r="H34" s="47"/>
      <c r="I34" s="67">
        <f t="shared" si="10"/>
        <v>104.05</v>
      </c>
      <c r="J34" s="67">
        <f t="shared" si="11"/>
        <v>260.12</v>
      </c>
      <c r="K34" s="47">
        <f t="shared" si="12"/>
        <v>5566.47498</v>
      </c>
    </row>
    <row r="35" spans="1:11">
      <c r="A35" s="44"/>
      <c r="B35" s="10"/>
      <c r="C35" s="10" t="s">
        <v>366</v>
      </c>
      <c r="D35" s="44" t="s">
        <v>137</v>
      </c>
      <c r="E35" s="44">
        <f>ROUND(E32*'[1]附表C-2营造林技术经济指标表'!$O$10,2)</f>
        <v>99.68</v>
      </c>
      <c r="F35" s="47">
        <f>ROUND(E32*'[1]附表C-2营造林技术经济指标表'!$P$10*'[1]附表C-2营造林技术经济指标表'!$P$7,2)*0.94*0.85</f>
        <v>18477.15465</v>
      </c>
      <c r="G35" s="47" t="s">
        <v>8</v>
      </c>
      <c r="H35" s="47" t="s">
        <v>8</v>
      </c>
      <c r="I35" s="67">
        <f t="shared" si="10"/>
        <v>369.54</v>
      </c>
      <c r="J35" s="67">
        <f t="shared" si="11"/>
        <v>923.86</v>
      </c>
      <c r="K35" s="47">
        <f t="shared" si="12"/>
        <v>19770.55465</v>
      </c>
    </row>
    <row r="36" spans="1:11">
      <c r="A36" s="44"/>
      <c r="B36" s="10"/>
      <c r="C36" s="10" t="s">
        <v>367</v>
      </c>
      <c r="D36" s="44" t="s">
        <v>137</v>
      </c>
      <c r="E36" s="44">
        <f>ROUND(E32*'[1]附表C-2营造林技术经济指标表'!$P$11,2)</f>
        <v>376.45</v>
      </c>
      <c r="F36" s="47">
        <f>ROUND(E32*'[1]附表C-2营造林技术经济指标表'!$P$11*'[1]附表C-2营造林技术经济指标表'!$P$6,2)*0.94*0.85</f>
        <v>38500.78179</v>
      </c>
      <c r="G36" s="47" t="s">
        <v>8</v>
      </c>
      <c r="H36" s="47" t="s">
        <v>8</v>
      </c>
      <c r="I36" s="67">
        <f t="shared" si="10"/>
        <v>770.02</v>
      </c>
      <c r="J36" s="67">
        <f t="shared" si="11"/>
        <v>1925.04</v>
      </c>
      <c r="K36" s="47">
        <f t="shared" si="12"/>
        <v>41195.84179</v>
      </c>
    </row>
    <row r="37" spans="1:11">
      <c r="A37" s="44"/>
      <c r="B37" s="10"/>
      <c r="C37" s="10" t="s">
        <v>384</v>
      </c>
      <c r="D37" s="44" t="s">
        <v>137</v>
      </c>
      <c r="E37" s="44">
        <f>ROUND(E32*'[1]附表C-2营造林技术经济指标表'!$P$12,2)</f>
        <v>184.84</v>
      </c>
      <c r="F37" s="47">
        <f>ROUND(E32*'[1]附表C-2营造林技术经济指标表'!$P$12*'[1]附表C-2营造林技术经济指标表'!$P$6,2)*0.94*0.85</f>
        <v>18903.98045</v>
      </c>
      <c r="G37" s="47" t="s">
        <v>8</v>
      </c>
      <c r="H37" s="47" t="s">
        <v>8</v>
      </c>
      <c r="I37" s="67">
        <f t="shared" si="10"/>
        <v>378.08</v>
      </c>
      <c r="J37" s="67">
        <f t="shared" si="11"/>
        <v>945.2</v>
      </c>
      <c r="K37" s="47">
        <f t="shared" si="12"/>
        <v>20227.26045</v>
      </c>
    </row>
    <row r="38" spans="1:11">
      <c r="A38" s="44"/>
      <c r="B38" s="10"/>
      <c r="C38" s="10" t="s">
        <v>385</v>
      </c>
      <c r="D38" s="44" t="s">
        <v>137</v>
      </c>
      <c r="E38" s="44">
        <f>ROUND(E32*'[1]附表C-2营造林技术经济指标表'!$P$13,2)</f>
        <v>309.68</v>
      </c>
      <c r="F38" s="47">
        <f>ROUND(E32*'[1]附表C-2营造林技术经济指标表'!$P$13*'[1]附表C-2营造林技术经济指标表'!$P$6,2)*0.94*0.85</f>
        <v>31671.59296</v>
      </c>
      <c r="G38" s="47" t="s">
        <v>8</v>
      </c>
      <c r="H38" s="47" t="s">
        <v>8</v>
      </c>
      <c r="I38" s="67">
        <f t="shared" si="10"/>
        <v>633.43</v>
      </c>
      <c r="J38" s="67">
        <f t="shared" si="11"/>
        <v>1583.58</v>
      </c>
      <c r="K38" s="47">
        <f t="shared" si="12"/>
        <v>33888.60296</v>
      </c>
    </row>
    <row r="39" spans="1:11">
      <c r="A39" s="44"/>
      <c r="B39" s="10"/>
      <c r="C39" s="10" t="s">
        <v>386</v>
      </c>
      <c r="D39" s="44" t="s">
        <v>137</v>
      </c>
      <c r="E39" s="44">
        <f>ROUND(E32*'[1]附表C-2营造林技术经济指标表'!$P$14,2)</f>
        <v>160.65</v>
      </c>
      <c r="F39" s="47">
        <f>ROUND(E32*'[1]附表C-2营造林技术经济指标表'!$P$14*'[1]附表C-2营造林技术经济指标表'!$P$6,2)*0.94*0.85</f>
        <v>16429.63725</v>
      </c>
      <c r="G39" s="47" t="s">
        <v>8</v>
      </c>
      <c r="H39" s="47" t="s">
        <v>8</v>
      </c>
      <c r="I39" s="67">
        <f t="shared" si="10"/>
        <v>328.59</v>
      </c>
      <c r="J39" s="67">
        <f t="shared" si="11"/>
        <v>821.48</v>
      </c>
      <c r="K39" s="47">
        <f t="shared" si="12"/>
        <v>17579.70725</v>
      </c>
    </row>
    <row r="40" spans="1:11">
      <c r="A40" s="44">
        <v>4</v>
      </c>
      <c r="B40" s="84" t="s">
        <v>377</v>
      </c>
      <c r="C40" s="8" t="s">
        <v>372</v>
      </c>
      <c r="D40" s="44" t="s">
        <v>70</v>
      </c>
      <c r="E40" s="44">
        <f>E32</f>
        <v>193.55</v>
      </c>
      <c r="F40" s="46">
        <f>F41</f>
        <v>31671.59296</v>
      </c>
      <c r="G40" s="47"/>
      <c r="H40" s="47"/>
      <c r="I40" s="67">
        <f t="shared" si="10"/>
        <v>633.43</v>
      </c>
      <c r="J40" s="67">
        <f t="shared" si="11"/>
        <v>1583.58</v>
      </c>
      <c r="K40" s="47">
        <f t="shared" si="12"/>
        <v>33888.60296</v>
      </c>
    </row>
    <row r="41" spans="1:11">
      <c r="A41" s="44"/>
      <c r="B41" s="84"/>
      <c r="C41" s="8" t="s">
        <v>372</v>
      </c>
      <c r="D41" s="44" t="s">
        <v>137</v>
      </c>
      <c r="E41" s="44">
        <f>ROUND(E40*'[1]附表C-2营造林技术经济指标表'!$O$139,2)</f>
        <v>309.68</v>
      </c>
      <c r="F41" s="46">
        <f>ROUND(E40*'[1]附表C-2营造林技术经济指标表'!$O$140,2)*0.94*0.85</f>
        <v>31671.59296</v>
      </c>
      <c r="G41" s="47"/>
      <c r="H41" s="47"/>
      <c r="I41" s="67">
        <f t="shared" si="10"/>
        <v>633.43</v>
      </c>
      <c r="J41" s="67">
        <f t="shared" si="11"/>
        <v>1583.58</v>
      </c>
      <c r="K41" s="47">
        <f t="shared" si="12"/>
        <v>33888.60296</v>
      </c>
    </row>
    <row r="42" spans="1:11">
      <c r="A42" s="44">
        <v>5</v>
      </c>
      <c r="B42" s="10" t="s">
        <v>378</v>
      </c>
      <c r="C42" s="10" t="s">
        <v>105</v>
      </c>
      <c r="D42" s="44" t="s">
        <v>70</v>
      </c>
      <c r="E42" s="44">
        <f>E32</f>
        <v>193.55</v>
      </c>
      <c r="F42" s="46">
        <f>SUM(F43:F45)</f>
        <v>0</v>
      </c>
      <c r="G42" s="47" t="s">
        <v>0</v>
      </c>
      <c r="H42" s="47" t="s">
        <v>0</v>
      </c>
      <c r="I42" s="67">
        <f t="shared" si="10"/>
        <v>0</v>
      </c>
      <c r="J42" s="67">
        <f t="shared" si="11"/>
        <v>0</v>
      </c>
      <c r="K42" s="47">
        <f t="shared" si="12"/>
        <v>0</v>
      </c>
    </row>
    <row r="43" spans="1:11">
      <c r="A43" s="44"/>
      <c r="B43" s="44" t="s">
        <v>8</v>
      </c>
      <c r="C43" s="10" t="s">
        <v>175</v>
      </c>
      <c r="D43" s="44" t="s">
        <v>176</v>
      </c>
      <c r="E43" s="44">
        <v>3</v>
      </c>
      <c r="F43" s="46" t="s">
        <v>8</v>
      </c>
      <c r="G43" s="47" t="s">
        <v>8</v>
      </c>
      <c r="H43" s="47" t="s">
        <v>8</v>
      </c>
      <c r="I43" s="47" t="s">
        <v>8</v>
      </c>
      <c r="J43" s="47" t="s">
        <v>8</v>
      </c>
      <c r="K43" s="47">
        <f t="shared" si="12"/>
        <v>0</v>
      </c>
    </row>
    <row r="44" spans="1:11">
      <c r="A44" s="44"/>
      <c r="B44" s="44" t="s">
        <v>8</v>
      </c>
      <c r="C44" s="10" t="s">
        <v>179</v>
      </c>
      <c r="D44" s="44" t="s">
        <v>180</v>
      </c>
      <c r="E44" s="44">
        <f>ROUND('[1]附表C-2营造林技术经济指标表'!$P$143/3*'[1]附表C-2营造林技术经济指标表'!$P$6,2)</f>
        <v>10.67</v>
      </c>
      <c r="F44" s="46" t="s">
        <v>8</v>
      </c>
      <c r="G44" s="47" t="s">
        <v>8</v>
      </c>
      <c r="H44" s="47" t="s">
        <v>8</v>
      </c>
      <c r="I44" s="47" t="s">
        <v>8</v>
      </c>
      <c r="J44" s="47" t="s">
        <v>8</v>
      </c>
      <c r="K44" s="47">
        <f t="shared" si="12"/>
        <v>0</v>
      </c>
    </row>
    <row r="45" spans="1:11">
      <c r="A45" s="44"/>
      <c r="B45" s="44" t="s">
        <v>8</v>
      </c>
      <c r="C45" s="10" t="s">
        <v>181</v>
      </c>
      <c r="D45" s="44" t="s">
        <v>137</v>
      </c>
      <c r="E45" s="44">
        <f>ROUND(E42*'[1]附表C-2营造林技术经济指标表'!$P$143,2)</f>
        <v>48.39</v>
      </c>
      <c r="F45" s="46"/>
      <c r="G45" s="47"/>
      <c r="H45" s="47"/>
      <c r="I45" s="67"/>
      <c r="J45" s="67"/>
      <c r="K45" s="47"/>
    </row>
    <row r="46" spans="1:13">
      <c r="A46" s="44" t="s">
        <v>8</v>
      </c>
      <c r="B46" s="44" t="s">
        <v>8</v>
      </c>
      <c r="C46" s="44" t="s">
        <v>106</v>
      </c>
      <c r="D46" s="44" t="s">
        <v>8</v>
      </c>
      <c r="E46" s="44" t="s">
        <v>8</v>
      </c>
      <c r="F46" s="46">
        <f>SUM(F32,F40,F45)</f>
        <v>177719.69235</v>
      </c>
      <c r="G46" s="47"/>
      <c r="H46" s="47" t="s">
        <v>0</v>
      </c>
      <c r="I46" s="46">
        <f>SUM(I32,I40,I42)</f>
        <v>3554.39</v>
      </c>
      <c r="J46" s="46">
        <f>SUM(J32,J40,J42)</f>
        <v>8885.99</v>
      </c>
      <c r="K46" s="47">
        <f t="shared" si="12"/>
        <v>190160.07235</v>
      </c>
      <c r="M46" s="1">
        <f>ROUND(K46/E40,2)</f>
        <v>982.49</v>
      </c>
    </row>
    <row r="47" ht="158.4" customHeight="1"/>
    <row r="48" spans="7:11">
      <c r="G48" s="28"/>
      <c r="H48" s="28"/>
      <c r="I48" s="28"/>
      <c r="J48" s="28"/>
      <c r="K48" s="28"/>
    </row>
    <row r="49" ht="29.4" customHeight="1" spans="1:11">
      <c r="A49" s="41" t="s">
        <v>0</v>
      </c>
      <c r="B49" s="41" t="s">
        <v>0</v>
      </c>
      <c r="C49" s="42" t="s">
        <v>77</v>
      </c>
      <c r="D49" s="42" t="s">
        <v>0</v>
      </c>
      <c r="E49" s="42" t="s">
        <v>0</v>
      </c>
      <c r="F49" s="42" t="s">
        <v>0</v>
      </c>
      <c r="G49" s="42" t="s">
        <v>0</v>
      </c>
      <c r="H49" s="42" t="s">
        <v>0</v>
      </c>
      <c r="I49" s="42" t="s">
        <v>0</v>
      </c>
      <c r="J49" s="49" t="s">
        <v>120</v>
      </c>
      <c r="K49" s="49" t="s">
        <v>0</v>
      </c>
    </row>
    <row r="50" spans="1:11">
      <c r="A50" s="43" t="s">
        <v>79</v>
      </c>
      <c r="B50" s="43" t="s">
        <v>0</v>
      </c>
      <c r="C50" s="43" t="s">
        <v>0</v>
      </c>
      <c r="D50" s="43" t="s">
        <v>0</v>
      </c>
      <c r="E50" s="43" t="s">
        <v>0</v>
      </c>
      <c r="F50" s="43" t="s">
        <v>0</v>
      </c>
      <c r="G50" s="43" t="s">
        <v>0</v>
      </c>
      <c r="H50" s="43" t="s">
        <v>0</v>
      </c>
      <c r="I50" s="43" t="s">
        <v>0</v>
      </c>
      <c r="J50" s="43" t="s">
        <v>0</v>
      </c>
      <c r="K50" s="43" t="s">
        <v>0</v>
      </c>
    </row>
    <row r="51" spans="1:11">
      <c r="A51" s="28" t="s">
        <v>22</v>
      </c>
      <c r="B51" s="28" t="s">
        <v>0</v>
      </c>
      <c r="C51" s="17" t="s">
        <v>359</v>
      </c>
      <c r="D51" s="17" t="s">
        <v>0</v>
      </c>
      <c r="E51" s="17" t="s">
        <v>0</v>
      </c>
      <c r="F51" s="17" t="s">
        <v>0</v>
      </c>
      <c r="G51" s="17" t="s">
        <v>0</v>
      </c>
      <c r="H51" s="17" t="s">
        <v>0</v>
      </c>
      <c r="I51" s="17" t="s">
        <v>0</v>
      </c>
      <c r="J51" s="17" t="s">
        <v>81</v>
      </c>
      <c r="K51" s="17" t="s">
        <v>0</v>
      </c>
    </row>
    <row r="52" spans="1:11">
      <c r="A52" s="28" t="s">
        <v>82</v>
      </c>
      <c r="B52" s="28" t="s">
        <v>0</v>
      </c>
      <c r="C52" s="17" t="s">
        <v>387</v>
      </c>
      <c r="D52" s="17" t="s">
        <v>0</v>
      </c>
      <c r="E52" s="17" t="s">
        <v>0</v>
      </c>
      <c r="F52" s="17" t="s">
        <v>0</v>
      </c>
      <c r="G52" s="17" t="s">
        <v>0</v>
      </c>
      <c r="H52" s="17" t="s">
        <v>0</v>
      </c>
      <c r="I52" s="17" t="s">
        <v>0</v>
      </c>
      <c r="J52" s="17" t="str">
        <f>'D3-3 分部分项工程量清单综合单价计算表(分页不带材料)~2'!J44:K44</f>
        <v>工程数量：8.33</v>
      </c>
      <c r="K52" s="17" t="s">
        <v>0</v>
      </c>
    </row>
    <row r="53" spans="1:11">
      <c r="A53" s="28" t="s">
        <v>84</v>
      </c>
      <c r="B53" s="28" t="s">
        <v>0</v>
      </c>
      <c r="C53" s="17" t="s">
        <v>380</v>
      </c>
      <c r="D53" s="17" t="s">
        <v>0</v>
      </c>
      <c r="E53" s="17" t="s">
        <v>0</v>
      </c>
      <c r="F53" s="17" t="s">
        <v>0</v>
      </c>
      <c r="G53" s="17" t="s">
        <v>0</v>
      </c>
      <c r="H53" s="17" t="s">
        <v>0</v>
      </c>
      <c r="I53" s="17" t="s">
        <v>0</v>
      </c>
      <c r="J53" s="17" t="str">
        <f>'D3-3 分部分项工程量清单综合单价计算表(分页不带材料)~2'!J45:K45</f>
        <v>综合单价：982.48元</v>
      </c>
      <c r="K53" s="17" t="s">
        <v>0</v>
      </c>
    </row>
    <row r="54" spans="1:11">
      <c r="A54" s="44" t="s">
        <v>28</v>
      </c>
      <c r="B54" s="44" t="s">
        <v>86</v>
      </c>
      <c r="C54" s="44" t="s">
        <v>87</v>
      </c>
      <c r="D54" s="44" t="s">
        <v>57</v>
      </c>
      <c r="E54" s="44" t="s">
        <v>88</v>
      </c>
      <c r="F54" s="44" t="s">
        <v>89</v>
      </c>
      <c r="G54" s="44" t="s">
        <v>0</v>
      </c>
      <c r="H54" s="44" t="s">
        <v>0</v>
      </c>
      <c r="I54" s="44" t="s">
        <v>0</v>
      </c>
      <c r="J54" s="44" t="s">
        <v>0</v>
      </c>
      <c r="K54" s="44" t="s">
        <v>0</v>
      </c>
    </row>
    <row r="55" spans="1:11">
      <c r="A55" s="44" t="s">
        <v>0</v>
      </c>
      <c r="B55" s="44" t="s">
        <v>0</v>
      </c>
      <c r="C55" s="44" t="s">
        <v>0</v>
      </c>
      <c r="D55" s="44" t="s">
        <v>0</v>
      </c>
      <c r="E55" s="44" t="s">
        <v>0</v>
      </c>
      <c r="F55" s="45" t="s">
        <v>63</v>
      </c>
      <c r="G55" s="44" t="s">
        <v>64</v>
      </c>
      <c r="H55" s="44" t="s">
        <v>65</v>
      </c>
      <c r="I55" s="44" t="s">
        <v>66</v>
      </c>
      <c r="J55" s="44" t="s">
        <v>67</v>
      </c>
      <c r="K55" s="44" t="s">
        <v>90</v>
      </c>
    </row>
    <row r="56" spans="1:11">
      <c r="A56" s="44">
        <v>1</v>
      </c>
      <c r="B56" s="10" t="s">
        <v>381</v>
      </c>
      <c r="C56" s="10" t="s">
        <v>363</v>
      </c>
      <c r="D56" s="44" t="s">
        <v>70</v>
      </c>
      <c r="E56" s="44">
        <f>'[1]附表C-6营造林工程投资概算'!$D$21</f>
        <v>8.33</v>
      </c>
      <c r="F56" s="46">
        <f>SUM(F57:F63)</f>
        <v>6285.61315</v>
      </c>
      <c r="G56" s="47" t="s">
        <v>0</v>
      </c>
      <c r="H56" s="47" t="s">
        <v>0</v>
      </c>
      <c r="I56" s="46">
        <f>SUM(I57:I63)</f>
        <v>125.7</v>
      </c>
      <c r="J56" s="46">
        <f>SUM(J57:J63)</f>
        <v>314.27</v>
      </c>
      <c r="K56" s="47">
        <f>SUM(F56:J56)</f>
        <v>6725.58315</v>
      </c>
    </row>
    <row r="57" spans="1:11">
      <c r="A57" s="44"/>
      <c r="B57" s="10"/>
      <c r="C57" s="10" t="s">
        <v>364</v>
      </c>
      <c r="D57" s="44" t="s">
        <v>137</v>
      </c>
      <c r="E57" s="44">
        <f>ROUND(E56*'[1]附表C-2营造林技术经济指标表'!$Q$8,2)</f>
        <v>3.92</v>
      </c>
      <c r="F57" s="47">
        <f>ROUND(E56*'[1]附表C-2营造林技术经济指标表'!$Q$8*'[1]附表C-2营造林技术经济指标表'!$Q$7,2)*0.94*0.85</f>
        <v>725.7317</v>
      </c>
      <c r="G57" s="47"/>
      <c r="H57" s="47"/>
      <c r="I57" s="67">
        <f t="shared" ref="I57:I66" si="13">ROUND(F57*0.02,2)</f>
        <v>14.51</v>
      </c>
      <c r="J57" s="67">
        <f t="shared" ref="J57:J66" si="14">ROUND(F57*0.05,2)</f>
        <v>36.29</v>
      </c>
      <c r="K57" s="47"/>
    </row>
    <row r="58" spans="1:11">
      <c r="A58" s="44"/>
      <c r="B58" s="10"/>
      <c r="C58" s="10" t="s">
        <v>365</v>
      </c>
      <c r="D58" s="44" t="s">
        <v>137</v>
      </c>
      <c r="E58" s="44">
        <f>ROUND(E56*'[1]附表C-2营造林技术经济指标表'!$Q$9,2)</f>
        <v>1.21</v>
      </c>
      <c r="F58" s="47">
        <f>ROUND(E56*'[1]附表C-2营造林技术经济指标表'!$Q$9*'[1]附表C-2营造林技术经济指标表'!$Q$7,2)*0.94*0.85</f>
        <v>223.89578</v>
      </c>
      <c r="G58" s="47"/>
      <c r="H58" s="47"/>
      <c r="I58" s="67">
        <f t="shared" si="13"/>
        <v>4.48</v>
      </c>
      <c r="J58" s="67">
        <f t="shared" si="14"/>
        <v>11.19</v>
      </c>
      <c r="K58" s="47"/>
    </row>
    <row r="59" spans="1:11">
      <c r="A59" s="44"/>
      <c r="B59" s="10"/>
      <c r="C59" s="10" t="s">
        <v>366</v>
      </c>
      <c r="D59" s="44" t="s">
        <v>137</v>
      </c>
      <c r="E59" s="44">
        <f>ROUND(E56*'[1]附表C-2营造林技术经济指标表'!$O$10,2)</f>
        <v>4.29</v>
      </c>
      <c r="F59" s="47">
        <f>ROUND(E56*'[1]附表C-2营造林技术经济指标表'!$Q$10*'[1]附表C-2营造林技术经济指标表'!$Q$7,2)*0.94*0.85</f>
        <v>795.22073</v>
      </c>
      <c r="G59" s="47" t="s">
        <v>8</v>
      </c>
      <c r="H59" s="47" t="s">
        <v>8</v>
      </c>
      <c r="I59" s="67">
        <f t="shared" si="13"/>
        <v>15.9</v>
      </c>
      <c r="J59" s="67">
        <f t="shared" si="14"/>
        <v>39.76</v>
      </c>
      <c r="K59" s="47" t="s">
        <v>8</v>
      </c>
    </row>
    <row r="60" spans="1:11">
      <c r="A60" s="44"/>
      <c r="B60" s="10"/>
      <c r="C60" s="10" t="s">
        <v>367</v>
      </c>
      <c r="D60" s="44" t="s">
        <v>137</v>
      </c>
      <c r="E60" s="44">
        <f>ROUND(E56*'[1]附表C-2营造林技术经济指标表'!$Q$11,2)</f>
        <v>16.2</v>
      </c>
      <c r="F60" s="47">
        <f>ROUND(E56*'[1]附表C-2营造林技术经济指标表'!$Q$11*'[1]附表C-2营造林技术经济指标表'!$Q$6,2)*0.94*0.85</f>
        <v>1656.99816</v>
      </c>
      <c r="G60" s="47" t="s">
        <v>8</v>
      </c>
      <c r="H60" s="47" t="s">
        <v>8</v>
      </c>
      <c r="I60" s="67">
        <f t="shared" si="13"/>
        <v>33.14</v>
      </c>
      <c r="J60" s="67">
        <f t="shared" si="14"/>
        <v>82.85</v>
      </c>
      <c r="K60" s="47" t="s">
        <v>8</v>
      </c>
    </row>
    <row r="61" spans="1:11">
      <c r="A61" s="44"/>
      <c r="B61" s="10"/>
      <c r="C61" s="10" t="s">
        <v>384</v>
      </c>
      <c r="D61" s="44" t="s">
        <v>137</v>
      </c>
      <c r="E61" s="44">
        <f>ROUND(E56*'[1]附表C-2营造林技术经济指标表'!$Q$12,2)</f>
        <v>7.96</v>
      </c>
      <c r="F61" s="47">
        <f>ROUND(E56*'[1]附表C-2营造林技术经济指标表'!$Q$12*'[1]附表C-2营造林技术经济指标表'!$Q$6,2)*0.94*0.85</f>
        <v>813.58974</v>
      </c>
      <c r="G61" s="47" t="s">
        <v>8</v>
      </c>
      <c r="H61" s="47" t="s">
        <v>8</v>
      </c>
      <c r="I61" s="67">
        <f t="shared" si="13"/>
        <v>16.27</v>
      </c>
      <c r="J61" s="67">
        <f t="shared" si="14"/>
        <v>40.68</v>
      </c>
      <c r="K61" s="47" t="s">
        <v>8</v>
      </c>
    </row>
    <row r="62" spans="1:11">
      <c r="A62" s="44"/>
      <c r="B62" s="10"/>
      <c r="C62" s="10" t="s">
        <v>385</v>
      </c>
      <c r="D62" s="44" t="s">
        <v>137</v>
      </c>
      <c r="E62" s="44">
        <f>ROUND(E56*'[1]附表C-2营造林技术经济指标表'!$Q$13,2)</f>
        <v>13.33</v>
      </c>
      <c r="F62" s="47">
        <f>ROUND(E56*'[1]附表C-2营造林技术经济指标表'!$Q$13*'[1]附表C-2营造林技术经济指标表'!$Q$6,2)*0.94*0.85</f>
        <v>1363.07802</v>
      </c>
      <c r="G62" s="47" t="s">
        <v>8</v>
      </c>
      <c r="H62" s="47" t="s">
        <v>8</v>
      </c>
      <c r="I62" s="67">
        <f t="shared" si="13"/>
        <v>27.26</v>
      </c>
      <c r="J62" s="67">
        <f t="shared" si="14"/>
        <v>68.15</v>
      </c>
      <c r="K62" s="47" t="s">
        <v>8</v>
      </c>
    </row>
    <row r="63" spans="1:11">
      <c r="A63" s="44"/>
      <c r="B63" s="10"/>
      <c r="C63" s="10" t="s">
        <v>386</v>
      </c>
      <c r="D63" s="44" t="s">
        <v>137</v>
      </c>
      <c r="E63" s="44">
        <f>ROUND(E56*'[1]附表C-2营造林技术经济指标表'!$Q$14,2)</f>
        <v>6.91</v>
      </c>
      <c r="F63" s="47">
        <f>ROUND(E56*'[1]附表C-2营造林技术经济指标表'!$Q$14*'[1]附表C-2营造林技术经济指标表'!$Q$6,2)*0.94*0.85</f>
        <v>707.09902</v>
      </c>
      <c r="G63" s="47" t="s">
        <v>8</v>
      </c>
      <c r="H63" s="47" t="s">
        <v>8</v>
      </c>
      <c r="I63" s="67">
        <f t="shared" si="13"/>
        <v>14.14</v>
      </c>
      <c r="J63" s="67">
        <f t="shared" si="14"/>
        <v>35.35</v>
      </c>
      <c r="K63" s="47" t="s">
        <v>8</v>
      </c>
    </row>
    <row r="64" spans="1:11">
      <c r="A64" s="44">
        <v>2</v>
      </c>
      <c r="B64" s="84" t="s">
        <v>382</v>
      </c>
      <c r="C64" s="8" t="s">
        <v>372</v>
      </c>
      <c r="D64" s="44" t="s">
        <v>70</v>
      </c>
      <c r="E64" s="44">
        <f>E56</f>
        <v>8.33</v>
      </c>
      <c r="F64" s="46">
        <f>F65</f>
        <v>1363.07802</v>
      </c>
      <c r="G64" s="47"/>
      <c r="H64" s="47"/>
      <c r="I64" s="67">
        <f t="shared" si="13"/>
        <v>27.26</v>
      </c>
      <c r="J64" s="67">
        <f t="shared" si="14"/>
        <v>68.15</v>
      </c>
      <c r="K64" s="47">
        <f>SUM(F64:J64)</f>
        <v>1458.48802</v>
      </c>
    </row>
    <row r="65" spans="1:11">
      <c r="A65" s="44"/>
      <c r="B65" s="84"/>
      <c r="C65" s="8" t="s">
        <v>372</v>
      </c>
      <c r="D65" s="44" t="s">
        <v>137</v>
      </c>
      <c r="E65" s="44">
        <f>ROUND(E64*'[1]附表C-2营造林技术经济指标表'!$O$139,2)</f>
        <v>13.33</v>
      </c>
      <c r="F65" s="46">
        <f>ROUND(E64*'[1]附表C-2营造林技术经济指标表'!$O$140,2)*0.94*0.85</f>
        <v>1363.07802</v>
      </c>
      <c r="G65" s="47"/>
      <c r="H65" s="47"/>
      <c r="I65" s="67">
        <f t="shared" si="13"/>
        <v>27.26</v>
      </c>
      <c r="J65" s="67">
        <f t="shared" si="14"/>
        <v>68.15</v>
      </c>
      <c r="K65" s="47"/>
    </row>
    <row r="66" spans="1:11">
      <c r="A66" s="44">
        <v>3</v>
      </c>
      <c r="B66" s="10" t="s">
        <v>383</v>
      </c>
      <c r="C66" s="10" t="s">
        <v>105</v>
      </c>
      <c r="D66" s="44" t="s">
        <v>70</v>
      </c>
      <c r="E66" s="44">
        <f>E56</f>
        <v>8.33</v>
      </c>
      <c r="F66" s="46">
        <f>SUM(F67:F69)</f>
        <v>0</v>
      </c>
      <c r="G66" s="47" t="s">
        <v>0</v>
      </c>
      <c r="H66" s="47" t="s">
        <v>0</v>
      </c>
      <c r="I66" s="67">
        <f t="shared" si="13"/>
        <v>0</v>
      </c>
      <c r="J66" s="67">
        <f t="shared" si="14"/>
        <v>0</v>
      </c>
      <c r="K66" s="47">
        <f>SUM(F66:J66)</f>
        <v>0</v>
      </c>
    </row>
    <row r="67" spans="1:11">
      <c r="A67" s="44"/>
      <c r="B67" s="44" t="s">
        <v>8</v>
      </c>
      <c r="C67" s="10" t="s">
        <v>175</v>
      </c>
      <c r="D67" s="44" t="s">
        <v>176</v>
      </c>
      <c r="E67" s="44">
        <v>3</v>
      </c>
      <c r="F67" s="46"/>
      <c r="G67" s="47"/>
      <c r="H67" s="47"/>
      <c r="I67" s="47"/>
      <c r="J67" s="47"/>
      <c r="K67" s="47" t="s">
        <v>8</v>
      </c>
    </row>
    <row r="68" spans="1:11">
      <c r="A68" s="44"/>
      <c r="B68" s="44" t="s">
        <v>8</v>
      </c>
      <c r="C68" s="10" t="s">
        <v>179</v>
      </c>
      <c r="D68" s="44" t="s">
        <v>180</v>
      </c>
      <c r="E68" s="44">
        <f>ROUND('[1]附表C-2营造林技术经济指标表'!$Q$143/3*'[1]附表C-2营造林技术经济指标表'!$Q$6,2)</f>
        <v>10.67</v>
      </c>
      <c r="F68" s="46"/>
      <c r="G68" s="47"/>
      <c r="H68" s="47"/>
      <c r="I68" s="47"/>
      <c r="J68" s="47"/>
      <c r="K68" s="47" t="s">
        <v>8</v>
      </c>
    </row>
    <row r="69" spans="1:11">
      <c r="A69" s="44"/>
      <c r="B69" s="44" t="s">
        <v>8</v>
      </c>
      <c r="C69" s="10" t="s">
        <v>181</v>
      </c>
      <c r="D69" s="44" t="s">
        <v>137</v>
      </c>
      <c r="E69" s="44">
        <f>ROUND(E66*'[1]附表C-2营造林技术经济指标表'!$Q$143,2)</f>
        <v>2.08</v>
      </c>
      <c r="F69" s="46"/>
      <c r="G69" s="47"/>
      <c r="H69" s="47"/>
      <c r="I69" s="67"/>
      <c r="J69" s="67"/>
      <c r="K69" s="47" t="s">
        <v>8</v>
      </c>
    </row>
    <row r="70" spans="1:13">
      <c r="A70" s="44" t="s">
        <v>8</v>
      </c>
      <c r="B70" s="44" t="s">
        <v>8</v>
      </c>
      <c r="C70" s="44" t="s">
        <v>106</v>
      </c>
      <c r="D70" s="44" t="s">
        <v>8</v>
      </c>
      <c r="E70" s="44" t="s">
        <v>8</v>
      </c>
      <c r="F70" s="46">
        <f>SUM(F56,F64,F66)</f>
        <v>7648.69117</v>
      </c>
      <c r="G70" s="47"/>
      <c r="H70" s="47" t="s">
        <v>0</v>
      </c>
      <c r="I70" s="46">
        <f>SUM(I56,I64,I66)</f>
        <v>152.96</v>
      </c>
      <c r="J70" s="46">
        <f>SUM(J56,J64,J66)</f>
        <v>382.42</v>
      </c>
      <c r="K70" s="47">
        <f>SUM(F70:J70)</f>
        <v>8184.07117</v>
      </c>
      <c r="M70" s="1">
        <f>ROUND(K70/E64,2)</f>
        <v>982.48</v>
      </c>
    </row>
    <row r="71" ht="129.6" customHeight="1"/>
    <row r="72" spans="7:11">
      <c r="G72" s="28"/>
      <c r="H72" s="28"/>
      <c r="I72" s="28"/>
      <c r="J72" s="28"/>
      <c r="K72" s="28"/>
    </row>
  </sheetData>
  <mergeCells count="61">
    <mergeCell ref="A1:B1"/>
    <mergeCell ref="C1:I1"/>
    <mergeCell ref="J1:K1"/>
    <mergeCell ref="A2:K2"/>
    <mergeCell ref="A3:B3"/>
    <mergeCell ref="C3:I3"/>
    <mergeCell ref="J3:K3"/>
    <mergeCell ref="A4:B4"/>
    <mergeCell ref="C4:I4"/>
    <mergeCell ref="J4:K4"/>
    <mergeCell ref="A5:B5"/>
    <mergeCell ref="C5:I5"/>
    <mergeCell ref="J5:K5"/>
    <mergeCell ref="F6:K6"/>
    <mergeCell ref="A24:F24"/>
    <mergeCell ref="G24:K24"/>
    <mergeCell ref="A25:B25"/>
    <mergeCell ref="C25:I25"/>
    <mergeCell ref="J25:K25"/>
    <mergeCell ref="A26:K26"/>
    <mergeCell ref="A27:B27"/>
    <mergeCell ref="C27:I27"/>
    <mergeCell ref="J27:K27"/>
    <mergeCell ref="A28:B28"/>
    <mergeCell ref="C28:I28"/>
    <mergeCell ref="J28:K28"/>
    <mergeCell ref="A29:B29"/>
    <mergeCell ref="C29:I29"/>
    <mergeCell ref="J29:K29"/>
    <mergeCell ref="F30:K30"/>
    <mergeCell ref="G48:K48"/>
    <mergeCell ref="A49:B49"/>
    <mergeCell ref="C49:I49"/>
    <mergeCell ref="J49:K49"/>
    <mergeCell ref="A50:K50"/>
    <mergeCell ref="A51:B51"/>
    <mergeCell ref="C51:I51"/>
    <mergeCell ref="J51:K51"/>
    <mergeCell ref="A52:B52"/>
    <mergeCell ref="C52:I52"/>
    <mergeCell ref="J52:K52"/>
    <mergeCell ref="A53:B53"/>
    <mergeCell ref="C53:I53"/>
    <mergeCell ref="J53:K53"/>
    <mergeCell ref="F54:K54"/>
    <mergeCell ref="G72:K72"/>
    <mergeCell ref="A6:A7"/>
    <mergeCell ref="A30:A31"/>
    <mergeCell ref="A54:A55"/>
    <mergeCell ref="B6:B7"/>
    <mergeCell ref="B30:B31"/>
    <mergeCell ref="B54:B55"/>
    <mergeCell ref="C6:C7"/>
    <mergeCell ref="C30:C31"/>
    <mergeCell ref="C54:C55"/>
    <mergeCell ref="D6:D7"/>
    <mergeCell ref="D30:D31"/>
    <mergeCell ref="D54:D55"/>
    <mergeCell ref="E6:E7"/>
    <mergeCell ref="E30:E31"/>
    <mergeCell ref="E54:E5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59"/>
  <sheetViews>
    <sheetView showZeros="0" topLeftCell="A53" workbookViewId="0">
      <selection activeCell="I58" sqref="I18 I38 I58"/>
    </sheetView>
  </sheetViews>
  <sheetFormatPr defaultColWidth="8.88888888888889" defaultRowHeight="14.4"/>
  <cols>
    <col min="1" max="5" width="8.88888888888889" style="1"/>
    <col min="6" max="6" width="27.787037037037" style="1" customWidth="1"/>
    <col min="7" max="7" width="12.787037037037" style="1" customWidth="1"/>
    <col min="8" max="8" width="8.88888888888889" style="1"/>
    <col min="9" max="9" width="9.55555555555556" style="1" customWidth="1"/>
    <col min="10" max="16384" width="8.88888888888889" style="1"/>
  </cols>
  <sheetData>
    <row r="1" ht="23.4" customHeight="1" spans="1:13">
      <c r="A1" s="14" t="s">
        <v>191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3" t="s">
        <v>192</v>
      </c>
      <c r="M1" s="13"/>
    </row>
    <row r="2" spans="1:13">
      <c r="A2" s="28" t="s">
        <v>22</v>
      </c>
      <c r="B2" s="28" t="s">
        <v>0</v>
      </c>
      <c r="C2" s="17" t="s">
        <v>388</v>
      </c>
      <c r="D2" s="17" t="s">
        <v>0</v>
      </c>
      <c r="E2" s="17" t="s">
        <v>0</v>
      </c>
      <c r="F2" s="17" t="s">
        <v>0</v>
      </c>
      <c r="G2" s="17"/>
      <c r="H2" s="17" t="s">
        <v>0</v>
      </c>
      <c r="I2" s="17" t="s">
        <v>0</v>
      </c>
      <c r="J2" s="17" t="s">
        <v>0</v>
      </c>
      <c r="K2" s="17" t="s">
        <v>81</v>
      </c>
      <c r="L2" s="17" t="s">
        <v>0</v>
      </c>
      <c r="M2" s="33"/>
    </row>
    <row r="3" customHeight="1" spans="1:13">
      <c r="A3" s="28" t="s">
        <v>82</v>
      </c>
      <c r="B3" s="28" t="s">
        <v>0</v>
      </c>
      <c r="C3" s="17" t="s">
        <v>360</v>
      </c>
      <c r="D3" s="17" t="s">
        <v>0</v>
      </c>
      <c r="E3" s="17" t="s">
        <v>0</v>
      </c>
      <c r="F3" s="17" t="s">
        <v>0</v>
      </c>
      <c r="G3" s="17"/>
      <c r="H3" s="17" t="s">
        <v>0</v>
      </c>
      <c r="I3" s="17" t="s">
        <v>0</v>
      </c>
      <c r="J3" s="17" t="s">
        <v>0</v>
      </c>
      <c r="K3" s="75" t="str">
        <f>"工程数量："&amp;'[1]附表C-6营造林工程投资概算'!$D$19</f>
        <v>工程数量：963.67</v>
      </c>
      <c r="L3" s="75" t="s">
        <v>0</v>
      </c>
      <c r="M3" s="15"/>
    </row>
    <row r="4" spans="1:13">
      <c r="A4" s="28" t="s">
        <v>84</v>
      </c>
      <c r="B4" s="28" t="s">
        <v>0</v>
      </c>
      <c r="C4" s="17" t="s">
        <v>389</v>
      </c>
      <c r="D4" s="17" t="s">
        <v>0</v>
      </c>
      <c r="E4" s="17" t="s">
        <v>0</v>
      </c>
      <c r="F4" s="17" t="s">
        <v>0</v>
      </c>
      <c r="G4" s="17"/>
      <c r="H4" s="17" t="s">
        <v>0</v>
      </c>
      <c r="I4" s="17" t="s">
        <v>0</v>
      </c>
      <c r="J4" s="17" t="s">
        <v>0</v>
      </c>
      <c r="K4" s="34"/>
      <c r="L4" s="34"/>
      <c r="M4" s="15"/>
    </row>
    <row r="5" s="76" customFormat="1" ht="32.4" customHeight="1" spans="1:13">
      <c r="A5" s="4" t="s">
        <v>193</v>
      </c>
      <c r="B5" s="4" t="s">
        <v>55</v>
      </c>
      <c r="C5" s="4" t="s">
        <v>0</v>
      </c>
      <c r="D5" s="4" t="s">
        <v>56</v>
      </c>
      <c r="E5" s="4" t="s">
        <v>0</v>
      </c>
      <c r="F5" s="4" t="s">
        <v>194</v>
      </c>
      <c r="G5" s="4" t="s">
        <v>195</v>
      </c>
      <c r="H5" s="4" t="s">
        <v>196</v>
      </c>
      <c r="I5" s="4" t="s">
        <v>197</v>
      </c>
      <c r="J5" s="4" t="s">
        <v>198</v>
      </c>
      <c r="K5" s="4" t="s">
        <v>0</v>
      </c>
      <c r="L5" s="4" t="s">
        <v>199</v>
      </c>
      <c r="M5" s="4" t="s">
        <v>35</v>
      </c>
    </row>
    <row r="6" s="76" customFormat="1" ht="34.2" customHeight="1" spans="1:13">
      <c r="A6" s="4" t="s">
        <v>68</v>
      </c>
      <c r="B6" s="4" t="s">
        <v>390</v>
      </c>
      <c r="C6" s="4" t="s">
        <v>0</v>
      </c>
      <c r="D6" s="6" t="s">
        <v>201</v>
      </c>
      <c r="E6" s="6" t="s">
        <v>0</v>
      </c>
      <c r="F6" s="4" t="s">
        <v>8</v>
      </c>
      <c r="G6" s="4"/>
      <c r="H6" s="4" t="s">
        <v>8</v>
      </c>
      <c r="I6" s="9">
        <f>SUM(I7:I10)</f>
        <v>19510.99</v>
      </c>
      <c r="J6" s="9" t="s">
        <v>0</v>
      </c>
      <c r="K6" s="9" t="s">
        <v>0</v>
      </c>
      <c r="L6" s="9" t="s">
        <v>0</v>
      </c>
      <c r="M6" s="9" t="s">
        <v>8</v>
      </c>
    </row>
    <row r="7" s="76" customFormat="1" ht="34.2" customHeight="1" spans="1:13">
      <c r="A7" s="4" t="s">
        <v>202</v>
      </c>
      <c r="B7" s="4" t="s">
        <v>203</v>
      </c>
      <c r="C7" s="4" t="s">
        <v>0</v>
      </c>
      <c r="D7" s="6" t="s">
        <v>204</v>
      </c>
      <c r="E7" s="6" t="s">
        <v>0</v>
      </c>
      <c r="F7" s="4" t="s">
        <v>205</v>
      </c>
      <c r="G7" s="29">
        <f>'D3-3 分部分项工程量清单综合单价计算表(分页不带材料)~2'!$F$18*0.3</f>
        <v>265455.661929</v>
      </c>
      <c r="H7" s="4">
        <v>0.55</v>
      </c>
      <c r="I7" s="9">
        <f>ROUND(G7*H7/100,2)</f>
        <v>1460.01</v>
      </c>
      <c r="J7" s="9" t="s">
        <v>0</v>
      </c>
      <c r="K7" s="9" t="s">
        <v>0</v>
      </c>
      <c r="L7" s="9" t="s">
        <v>0</v>
      </c>
      <c r="M7" s="9" t="s">
        <v>8</v>
      </c>
    </row>
    <row r="8" s="76" customFormat="1" ht="34.2" customHeight="1" spans="1:13">
      <c r="A8" s="4" t="s">
        <v>206</v>
      </c>
      <c r="B8" s="4" t="s">
        <v>207</v>
      </c>
      <c r="C8" s="4" t="s">
        <v>0</v>
      </c>
      <c r="D8" s="6" t="s">
        <v>208</v>
      </c>
      <c r="E8" s="6" t="s">
        <v>0</v>
      </c>
      <c r="F8" s="4" t="s">
        <v>205</v>
      </c>
      <c r="G8" s="29">
        <f>$G$7</f>
        <v>265455.661929</v>
      </c>
      <c r="H8" s="4">
        <v>1.35</v>
      </c>
      <c r="I8" s="9">
        <f t="shared" ref="I8:I10" si="0">ROUND(G8*H8/100,2)</f>
        <v>3583.65</v>
      </c>
      <c r="J8" s="9" t="s">
        <v>0</v>
      </c>
      <c r="K8" s="9" t="s">
        <v>0</v>
      </c>
      <c r="L8" s="9" t="s">
        <v>0</v>
      </c>
      <c r="M8" s="9" t="s">
        <v>8</v>
      </c>
    </row>
    <row r="9" s="76" customFormat="1" ht="34.2" customHeight="1" spans="1:13">
      <c r="A9" s="4" t="s">
        <v>209</v>
      </c>
      <c r="B9" s="4" t="s">
        <v>210</v>
      </c>
      <c r="C9" s="4" t="s">
        <v>0</v>
      </c>
      <c r="D9" s="6" t="s">
        <v>211</v>
      </c>
      <c r="E9" s="6" t="s">
        <v>0</v>
      </c>
      <c r="F9" s="4" t="s">
        <v>205</v>
      </c>
      <c r="G9" s="29">
        <f t="shared" ref="G9:G10" si="1">$G$7</f>
        <v>265455.661929</v>
      </c>
      <c r="H9" s="4">
        <v>2.1</v>
      </c>
      <c r="I9" s="9">
        <f t="shared" si="0"/>
        <v>5574.57</v>
      </c>
      <c r="J9" s="9" t="s">
        <v>0</v>
      </c>
      <c r="K9" s="9" t="s">
        <v>0</v>
      </c>
      <c r="L9" s="9" t="s">
        <v>0</v>
      </c>
      <c r="M9" s="9" t="s">
        <v>8</v>
      </c>
    </row>
    <row r="10" s="76" customFormat="1" ht="34.2" customHeight="1" spans="1:13">
      <c r="A10" s="4" t="s">
        <v>212</v>
      </c>
      <c r="B10" s="4" t="s">
        <v>213</v>
      </c>
      <c r="C10" s="4" t="s">
        <v>0</v>
      </c>
      <c r="D10" s="6" t="s">
        <v>214</v>
      </c>
      <c r="E10" s="6" t="s">
        <v>0</v>
      </c>
      <c r="F10" s="4" t="s">
        <v>205</v>
      </c>
      <c r="G10" s="29">
        <f t="shared" si="1"/>
        <v>265455.661929</v>
      </c>
      <c r="H10" s="4">
        <v>3.35</v>
      </c>
      <c r="I10" s="9">
        <f t="shared" si="0"/>
        <v>8892.76</v>
      </c>
      <c r="J10" s="9" t="s">
        <v>0</v>
      </c>
      <c r="K10" s="9" t="s">
        <v>0</v>
      </c>
      <c r="L10" s="9" t="s">
        <v>0</v>
      </c>
      <c r="M10" s="9" t="s">
        <v>8</v>
      </c>
    </row>
    <row r="11" s="76" customFormat="1" ht="21.6" customHeight="1" spans="1:13">
      <c r="A11" s="4" t="s">
        <v>71</v>
      </c>
      <c r="B11" s="4" t="s">
        <v>391</v>
      </c>
      <c r="C11" s="4" t="s">
        <v>0</v>
      </c>
      <c r="D11" s="6" t="s">
        <v>216</v>
      </c>
      <c r="E11" s="6" t="s">
        <v>0</v>
      </c>
      <c r="F11" s="4" t="s">
        <v>8</v>
      </c>
      <c r="G11" s="4"/>
      <c r="H11" s="4" t="s">
        <v>8</v>
      </c>
      <c r="I11" s="9"/>
      <c r="J11" s="9" t="s">
        <v>0</v>
      </c>
      <c r="K11" s="9" t="s">
        <v>0</v>
      </c>
      <c r="L11" s="9" t="s">
        <v>0</v>
      </c>
      <c r="M11" s="9" t="s">
        <v>8</v>
      </c>
    </row>
    <row r="12" s="76" customFormat="1" ht="21.6" customHeight="1" spans="1:13">
      <c r="A12" s="4" t="s">
        <v>73</v>
      </c>
      <c r="B12" s="4" t="s">
        <v>392</v>
      </c>
      <c r="C12" s="4" t="s">
        <v>0</v>
      </c>
      <c r="D12" s="6" t="s">
        <v>218</v>
      </c>
      <c r="E12" s="6" t="s">
        <v>0</v>
      </c>
      <c r="F12" s="4" t="s">
        <v>8</v>
      </c>
      <c r="G12" s="4"/>
      <c r="H12" s="4" t="s">
        <v>8</v>
      </c>
      <c r="I12" s="9"/>
      <c r="J12" s="9" t="s">
        <v>0</v>
      </c>
      <c r="K12" s="9" t="s">
        <v>0</v>
      </c>
      <c r="L12" s="9" t="s">
        <v>0</v>
      </c>
      <c r="M12" s="9" t="s">
        <v>8</v>
      </c>
    </row>
    <row r="13" s="76" customFormat="1" ht="34.2" customHeight="1" spans="1:13">
      <c r="A13" s="4" t="s">
        <v>94</v>
      </c>
      <c r="B13" s="4" t="s">
        <v>393</v>
      </c>
      <c r="C13" s="4" t="s">
        <v>0</v>
      </c>
      <c r="D13" s="6" t="s">
        <v>220</v>
      </c>
      <c r="E13" s="6" t="s">
        <v>0</v>
      </c>
      <c r="F13" s="4" t="s">
        <v>205</v>
      </c>
      <c r="G13" s="29">
        <f t="shared" ref="G13" si="2">$G$7</f>
        <v>265455.661929</v>
      </c>
      <c r="H13" s="30">
        <v>0.36</v>
      </c>
      <c r="I13" s="9">
        <f t="shared" ref="I13" si="3">ROUND(G13*H13/100,2)</f>
        <v>955.64</v>
      </c>
      <c r="J13" s="9" t="s">
        <v>0</v>
      </c>
      <c r="K13" s="9" t="s">
        <v>0</v>
      </c>
      <c r="L13" s="9" t="s">
        <v>0</v>
      </c>
      <c r="M13" s="9" t="s">
        <v>8</v>
      </c>
    </row>
    <row r="14" s="76" customFormat="1" ht="19.8" customHeight="1" spans="1:13">
      <c r="A14" s="4" t="s">
        <v>96</v>
      </c>
      <c r="B14" s="4" t="s">
        <v>394</v>
      </c>
      <c r="C14" s="4" t="s">
        <v>0</v>
      </c>
      <c r="D14" s="6" t="s">
        <v>222</v>
      </c>
      <c r="E14" s="6" t="s">
        <v>0</v>
      </c>
      <c r="F14" s="4" t="s">
        <v>8</v>
      </c>
      <c r="G14" s="4"/>
      <c r="H14" s="4" t="s">
        <v>8</v>
      </c>
      <c r="I14" s="9" t="s">
        <v>0</v>
      </c>
      <c r="J14" s="9" t="s">
        <v>0</v>
      </c>
      <c r="K14" s="9" t="s">
        <v>0</v>
      </c>
      <c r="L14" s="9" t="s">
        <v>0</v>
      </c>
      <c r="M14" s="9" t="s">
        <v>8</v>
      </c>
    </row>
    <row r="15" s="76" customFormat="1" ht="34.2" customHeight="1" spans="1:13">
      <c r="A15" s="4" t="s">
        <v>98</v>
      </c>
      <c r="B15" s="4" t="s">
        <v>395</v>
      </c>
      <c r="C15" s="4" t="s">
        <v>0</v>
      </c>
      <c r="D15" s="6" t="s">
        <v>224</v>
      </c>
      <c r="E15" s="6" t="s">
        <v>0</v>
      </c>
      <c r="F15" s="4" t="s">
        <v>8</v>
      </c>
      <c r="G15" s="4"/>
      <c r="H15" s="4" t="s">
        <v>8</v>
      </c>
      <c r="I15" s="9" t="s">
        <v>0</v>
      </c>
      <c r="J15" s="9" t="s">
        <v>0</v>
      </c>
      <c r="K15" s="9" t="s">
        <v>0</v>
      </c>
      <c r="L15" s="9" t="s">
        <v>0</v>
      </c>
      <c r="M15" s="9" t="s">
        <v>8</v>
      </c>
    </row>
    <row r="16" s="76" customFormat="1" ht="34.2" customHeight="1" spans="1:13">
      <c r="A16" s="4" t="s">
        <v>100</v>
      </c>
      <c r="B16" s="4" t="s">
        <v>396</v>
      </c>
      <c r="C16" s="4" t="s">
        <v>0</v>
      </c>
      <c r="D16" s="6" t="s">
        <v>226</v>
      </c>
      <c r="E16" s="6" t="s">
        <v>0</v>
      </c>
      <c r="F16" s="4" t="s">
        <v>8</v>
      </c>
      <c r="G16" s="4"/>
      <c r="H16" s="4" t="s">
        <v>8</v>
      </c>
      <c r="I16" s="9" t="s">
        <v>0</v>
      </c>
      <c r="J16" s="9" t="s">
        <v>0</v>
      </c>
      <c r="K16" s="9" t="s">
        <v>0</v>
      </c>
      <c r="L16" s="9" t="s">
        <v>0</v>
      </c>
      <c r="M16" s="9" t="s">
        <v>8</v>
      </c>
    </row>
    <row r="17" s="76" customFormat="1" ht="43.2" customHeight="1" spans="1:13">
      <c r="A17" s="4" t="s">
        <v>102</v>
      </c>
      <c r="B17" s="4" t="s">
        <v>397</v>
      </c>
      <c r="C17" s="4" t="s">
        <v>0</v>
      </c>
      <c r="D17" s="6" t="s">
        <v>228</v>
      </c>
      <c r="E17" s="6" t="s">
        <v>0</v>
      </c>
      <c r="F17" s="4" t="s">
        <v>229</v>
      </c>
      <c r="G17" s="29">
        <f t="shared" ref="G17" si="4">$G$7</f>
        <v>265455.661929</v>
      </c>
      <c r="H17" s="30">
        <v>0.09</v>
      </c>
      <c r="I17" s="9">
        <f t="shared" ref="I17" si="5">ROUND(G17*H17/100,2)</f>
        <v>238.91</v>
      </c>
      <c r="J17" s="35"/>
      <c r="K17" s="36"/>
      <c r="L17" s="9"/>
      <c r="M17" s="9"/>
    </row>
    <row r="18" s="76" customFormat="1" ht="25.8" customHeight="1" spans="1:13">
      <c r="A18" s="77" t="s">
        <v>90</v>
      </c>
      <c r="B18" s="77"/>
      <c r="C18" s="77"/>
      <c r="D18" s="77"/>
      <c r="E18" s="77"/>
      <c r="F18" s="78"/>
      <c r="G18" s="78"/>
      <c r="H18" s="78"/>
      <c r="I18" s="81">
        <f>SUM(I7:I17)</f>
        <v>20705.54</v>
      </c>
      <c r="J18" s="82"/>
      <c r="K18" s="83"/>
      <c r="L18" s="78"/>
      <c r="M18" s="78"/>
    </row>
    <row r="19" s="76" customFormat="1" ht="34.2" customHeight="1" spans="1:13">
      <c r="A19" s="79" t="s">
        <v>398</v>
      </c>
      <c r="B19" s="79" t="s">
        <v>0</v>
      </c>
      <c r="C19" s="79" t="s">
        <v>0</v>
      </c>
      <c r="D19" s="79" t="s">
        <v>0</v>
      </c>
      <c r="E19" s="79" t="s">
        <v>0</v>
      </c>
      <c r="F19" s="79" t="s">
        <v>0</v>
      </c>
      <c r="G19" s="79"/>
      <c r="H19" s="79" t="s">
        <v>0</v>
      </c>
      <c r="I19" s="79" t="s">
        <v>0</v>
      </c>
      <c r="J19" s="79" t="s">
        <v>0</v>
      </c>
      <c r="K19" s="79" t="s">
        <v>0</v>
      </c>
      <c r="L19" s="79" t="s">
        <v>0</v>
      </c>
      <c r="M19" s="79" t="s">
        <v>0</v>
      </c>
    </row>
    <row r="20" spans="1:13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ht="20.4" spans="1:13">
      <c r="A21" s="14" t="s">
        <v>191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 t="s">
        <v>231</v>
      </c>
      <c r="M21" s="13"/>
    </row>
    <row r="22" spans="1:13">
      <c r="A22" s="28" t="s">
        <v>22</v>
      </c>
      <c r="B22" s="28" t="s">
        <v>0</v>
      </c>
      <c r="C22" s="17" t="s">
        <v>388</v>
      </c>
      <c r="D22" s="17" t="s">
        <v>0</v>
      </c>
      <c r="E22" s="17" t="s">
        <v>0</v>
      </c>
      <c r="F22" s="17" t="s">
        <v>0</v>
      </c>
      <c r="G22" s="17"/>
      <c r="H22" s="17" t="s">
        <v>0</v>
      </c>
      <c r="I22" s="17" t="s">
        <v>0</v>
      </c>
      <c r="J22" s="17" t="s">
        <v>0</v>
      </c>
      <c r="K22" s="17" t="s">
        <v>81</v>
      </c>
      <c r="L22" s="17" t="s">
        <v>0</v>
      </c>
      <c r="M22" s="33"/>
    </row>
    <row r="23" customHeight="1" spans="1:13">
      <c r="A23" s="28" t="s">
        <v>82</v>
      </c>
      <c r="B23" s="28" t="s">
        <v>0</v>
      </c>
      <c r="C23" s="17" t="s">
        <v>399</v>
      </c>
      <c r="D23" s="17" t="s">
        <v>0</v>
      </c>
      <c r="E23" s="17" t="s">
        <v>0</v>
      </c>
      <c r="F23" s="17" t="s">
        <v>0</v>
      </c>
      <c r="G23" s="17"/>
      <c r="H23" s="17" t="s">
        <v>0</v>
      </c>
      <c r="I23" s="17" t="s">
        <v>0</v>
      </c>
      <c r="J23" s="17" t="s">
        <v>0</v>
      </c>
      <c r="K23" s="75" t="str">
        <f>"工程数量："&amp;'[1]附表C-6营造林工程投资概算'!$D$20</f>
        <v>工程数量：193.55</v>
      </c>
      <c r="L23" s="75" t="s">
        <v>0</v>
      </c>
      <c r="M23" s="15"/>
    </row>
    <row r="24" spans="1:13">
      <c r="A24" s="28" t="s">
        <v>84</v>
      </c>
      <c r="B24" s="28" t="s">
        <v>0</v>
      </c>
      <c r="C24" s="17" t="s">
        <v>400</v>
      </c>
      <c r="D24" s="17" t="s">
        <v>0</v>
      </c>
      <c r="E24" s="17" t="s">
        <v>0</v>
      </c>
      <c r="F24" s="17" t="s">
        <v>0</v>
      </c>
      <c r="G24" s="17"/>
      <c r="H24" s="17" t="s">
        <v>0</v>
      </c>
      <c r="I24" s="17" t="s">
        <v>0</v>
      </c>
      <c r="J24" s="17" t="s">
        <v>0</v>
      </c>
      <c r="K24" s="34"/>
      <c r="L24" s="34"/>
      <c r="M24" s="15"/>
    </row>
    <row r="25" ht="33" customHeight="1" spans="1:13">
      <c r="A25" s="4" t="s">
        <v>193</v>
      </c>
      <c r="B25" s="4" t="s">
        <v>55</v>
      </c>
      <c r="C25" s="4" t="s">
        <v>0</v>
      </c>
      <c r="D25" s="4" t="s">
        <v>56</v>
      </c>
      <c r="E25" s="4" t="s">
        <v>0</v>
      </c>
      <c r="F25" s="4" t="s">
        <v>194</v>
      </c>
      <c r="G25" s="4" t="s">
        <v>195</v>
      </c>
      <c r="H25" s="4" t="s">
        <v>196</v>
      </c>
      <c r="I25" s="4" t="s">
        <v>197</v>
      </c>
      <c r="J25" s="4" t="s">
        <v>198</v>
      </c>
      <c r="K25" s="4" t="s">
        <v>0</v>
      </c>
      <c r="L25" s="4" t="s">
        <v>199</v>
      </c>
      <c r="M25" s="4" t="s">
        <v>35</v>
      </c>
    </row>
    <row r="26" ht="36.6" customHeight="1" spans="1:13">
      <c r="A26" s="4" t="s">
        <v>68</v>
      </c>
      <c r="B26" s="4" t="s">
        <v>401</v>
      </c>
      <c r="C26" s="4" t="s">
        <v>0</v>
      </c>
      <c r="D26" s="6" t="s">
        <v>201</v>
      </c>
      <c r="E26" s="6" t="s">
        <v>0</v>
      </c>
      <c r="F26" s="4" t="s">
        <v>8</v>
      </c>
      <c r="G26" s="4"/>
      <c r="H26" s="4" t="s">
        <v>8</v>
      </c>
      <c r="I26" s="9">
        <f>SUM(I27:I30)</f>
        <v>3918.71</v>
      </c>
      <c r="J26" s="9" t="s">
        <v>0</v>
      </c>
      <c r="K26" s="9" t="s">
        <v>0</v>
      </c>
      <c r="L26" s="9" t="s">
        <v>0</v>
      </c>
      <c r="M26" s="9" t="s">
        <v>8</v>
      </c>
    </row>
    <row r="27" ht="36.6" customHeight="1" spans="1:13">
      <c r="A27" s="4" t="s">
        <v>202</v>
      </c>
      <c r="B27" s="4" t="s">
        <v>203</v>
      </c>
      <c r="C27" s="4" t="s">
        <v>0</v>
      </c>
      <c r="D27" s="6" t="s">
        <v>204</v>
      </c>
      <c r="E27" s="6" t="s">
        <v>0</v>
      </c>
      <c r="F27" s="4" t="s">
        <v>205</v>
      </c>
      <c r="G27" s="29">
        <f>'D3-3 分部分项工程量清单综合单价计算表(分页不带材料)~2'!$F$38*0.3</f>
        <v>53315.907705</v>
      </c>
      <c r="H27" s="4">
        <v>0.55</v>
      </c>
      <c r="I27" s="9">
        <f>ROUND(G27*H27/100,2)</f>
        <v>293.24</v>
      </c>
      <c r="J27" s="9" t="s">
        <v>0</v>
      </c>
      <c r="K27" s="9" t="s">
        <v>0</v>
      </c>
      <c r="L27" s="9" t="s">
        <v>0</v>
      </c>
      <c r="M27" s="9" t="s">
        <v>8</v>
      </c>
    </row>
    <row r="28" ht="36.6" customHeight="1" spans="1:13">
      <c r="A28" s="4" t="s">
        <v>206</v>
      </c>
      <c r="B28" s="4" t="s">
        <v>207</v>
      </c>
      <c r="C28" s="4" t="s">
        <v>0</v>
      </c>
      <c r="D28" s="6" t="s">
        <v>208</v>
      </c>
      <c r="E28" s="6" t="s">
        <v>0</v>
      </c>
      <c r="F28" s="4" t="s">
        <v>205</v>
      </c>
      <c r="G28" s="29">
        <f>$G$27</f>
        <v>53315.907705</v>
      </c>
      <c r="H28" s="4">
        <v>1.35</v>
      </c>
      <c r="I28" s="9">
        <f>ROUND(G28*H28/100,2)</f>
        <v>719.76</v>
      </c>
      <c r="J28" s="9" t="s">
        <v>0</v>
      </c>
      <c r="K28" s="9" t="s">
        <v>0</v>
      </c>
      <c r="L28" s="9" t="s">
        <v>0</v>
      </c>
      <c r="M28" s="9" t="s">
        <v>8</v>
      </c>
    </row>
    <row r="29" ht="36.6" customHeight="1" spans="1:13">
      <c r="A29" s="4" t="s">
        <v>209</v>
      </c>
      <c r="B29" s="4" t="s">
        <v>210</v>
      </c>
      <c r="C29" s="4" t="s">
        <v>0</v>
      </c>
      <c r="D29" s="6" t="s">
        <v>211</v>
      </c>
      <c r="E29" s="6" t="s">
        <v>0</v>
      </c>
      <c r="F29" s="4" t="s">
        <v>205</v>
      </c>
      <c r="G29" s="29">
        <f t="shared" ref="G29:G30" si="6">$G$27</f>
        <v>53315.907705</v>
      </c>
      <c r="H29" s="4">
        <v>2.1</v>
      </c>
      <c r="I29" s="9">
        <f>ROUND(G29*H29/100,2)</f>
        <v>1119.63</v>
      </c>
      <c r="J29" s="9" t="s">
        <v>0</v>
      </c>
      <c r="K29" s="9" t="s">
        <v>0</v>
      </c>
      <c r="L29" s="9" t="s">
        <v>0</v>
      </c>
      <c r="M29" s="9" t="s">
        <v>8</v>
      </c>
    </row>
    <row r="30" ht="36.6" customHeight="1" spans="1:13">
      <c r="A30" s="4" t="s">
        <v>212</v>
      </c>
      <c r="B30" s="4" t="s">
        <v>213</v>
      </c>
      <c r="C30" s="4" t="s">
        <v>0</v>
      </c>
      <c r="D30" s="6" t="s">
        <v>214</v>
      </c>
      <c r="E30" s="6" t="s">
        <v>0</v>
      </c>
      <c r="F30" s="4" t="s">
        <v>205</v>
      </c>
      <c r="G30" s="29">
        <f t="shared" si="6"/>
        <v>53315.907705</v>
      </c>
      <c r="H30" s="4">
        <v>3.35</v>
      </c>
      <c r="I30" s="9">
        <f>ROUND(G30*H30/100,2)</f>
        <v>1786.08</v>
      </c>
      <c r="J30" s="9" t="s">
        <v>0</v>
      </c>
      <c r="K30" s="9" t="s">
        <v>0</v>
      </c>
      <c r="L30" s="9" t="s">
        <v>0</v>
      </c>
      <c r="M30" s="9" t="s">
        <v>8</v>
      </c>
    </row>
    <row r="31" spans="1:13">
      <c r="A31" s="4" t="s">
        <v>71</v>
      </c>
      <c r="B31" s="4" t="s">
        <v>402</v>
      </c>
      <c r="C31" s="4" t="s">
        <v>0</v>
      </c>
      <c r="D31" s="6" t="s">
        <v>216</v>
      </c>
      <c r="E31" s="6" t="s">
        <v>0</v>
      </c>
      <c r="F31" s="4" t="s">
        <v>8</v>
      </c>
      <c r="G31" s="4"/>
      <c r="H31" s="4" t="s">
        <v>8</v>
      </c>
      <c r="I31" s="9"/>
      <c r="J31" s="9" t="s">
        <v>0</v>
      </c>
      <c r="K31" s="9" t="s">
        <v>0</v>
      </c>
      <c r="L31" s="9" t="s">
        <v>0</v>
      </c>
      <c r="M31" s="9" t="s">
        <v>8</v>
      </c>
    </row>
    <row r="32" spans="1:13">
      <c r="A32" s="4" t="s">
        <v>73</v>
      </c>
      <c r="B32" s="4" t="s">
        <v>403</v>
      </c>
      <c r="C32" s="4" t="s">
        <v>0</v>
      </c>
      <c r="D32" s="6" t="s">
        <v>218</v>
      </c>
      <c r="E32" s="6" t="s">
        <v>0</v>
      </c>
      <c r="F32" s="4" t="s">
        <v>8</v>
      </c>
      <c r="G32" s="4"/>
      <c r="H32" s="4" t="s">
        <v>8</v>
      </c>
      <c r="I32" s="9"/>
      <c r="J32" s="9" t="s">
        <v>0</v>
      </c>
      <c r="K32" s="9" t="s">
        <v>0</v>
      </c>
      <c r="L32" s="9" t="s">
        <v>0</v>
      </c>
      <c r="M32" s="9" t="s">
        <v>8</v>
      </c>
    </row>
    <row r="33" ht="31.8" customHeight="1" spans="1:13">
      <c r="A33" s="4" t="s">
        <v>94</v>
      </c>
      <c r="B33" s="4" t="s">
        <v>404</v>
      </c>
      <c r="C33" s="4" t="s">
        <v>0</v>
      </c>
      <c r="D33" s="6" t="s">
        <v>220</v>
      </c>
      <c r="E33" s="6" t="s">
        <v>0</v>
      </c>
      <c r="F33" s="4" t="s">
        <v>205</v>
      </c>
      <c r="G33" s="29">
        <f t="shared" ref="G33" si="7">$G$27</f>
        <v>53315.907705</v>
      </c>
      <c r="H33" s="30">
        <v>0.36</v>
      </c>
      <c r="I33" s="9">
        <f>ROUND(G33*H33/100,2)</f>
        <v>191.94</v>
      </c>
      <c r="J33" s="9" t="s">
        <v>0</v>
      </c>
      <c r="K33" s="9" t="s">
        <v>0</v>
      </c>
      <c r="L33" s="9" t="s">
        <v>0</v>
      </c>
      <c r="M33" s="9" t="s">
        <v>8</v>
      </c>
    </row>
    <row r="34" spans="1:13">
      <c r="A34" s="4" t="s">
        <v>96</v>
      </c>
      <c r="B34" s="4" t="s">
        <v>405</v>
      </c>
      <c r="C34" s="4" t="s">
        <v>0</v>
      </c>
      <c r="D34" s="6" t="s">
        <v>222</v>
      </c>
      <c r="E34" s="6" t="s">
        <v>0</v>
      </c>
      <c r="F34" s="4" t="s">
        <v>8</v>
      </c>
      <c r="G34" s="4"/>
      <c r="H34" s="4" t="s">
        <v>8</v>
      </c>
      <c r="I34" s="9" t="s">
        <v>0</v>
      </c>
      <c r="J34" s="9" t="s">
        <v>0</v>
      </c>
      <c r="K34" s="9" t="s">
        <v>0</v>
      </c>
      <c r="L34" s="9" t="s">
        <v>0</v>
      </c>
      <c r="M34" s="9" t="s">
        <v>8</v>
      </c>
    </row>
    <row r="35" ht="32.4" customHeight="1" spans="1:13">
      <c r="A35" s="4" t="s">
        <v>98</v>
      </c>
      <c r="B35" s="4" t="s">
        <v>406</v>
      </c>
      <c r="C35" s="4" t="s">
        <v>0</v>
      </c>
      <c r="D35" s="6" t="s">
        <v>224</v>
      </c>
      <c r="E35" s="6" t="s">
        <v>0</v>
      </c>
      <c r="F35" s="4" t="s">
        <v>8</v>
      </c>
      <c r="G35" s="4"/>
      <c r="H35" s="4" t="s">
        <v>8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8</v>
      </c>
    </row>
    <row r="36" spans="1:13">
      <c r="A36" s="4" t="s">
        <v>100</v>
      </c>
      <c r="B36" s="4" t="s">
        <v>407</v>
      </c>
      <c r="C36" s="4" t="s">
        <v>0</v>
      </c>
      <c r="D36" s="6" t="s">
        <v>226</v>
      </c>
      <c r="E36" s="6" t="s">
        <v>0</v>
      </c>
      <c r="F36" s="4" t="s">
        <v>8</v>
      </c>
      <c r="G36" s="4"/>
      <c r="H36" s="4" t="s">
        <v>8</v>
      </c>
      <c r="I36" s="9" t="s">
        <v>0</v>
      </c>
      <c r="J36" s="9" t="s">
        <v>0</v>
      </c>
      <c r="K36" s="9" t="s">
        <v>0</v>
      </c>
      <c r="L36" s="9" t="s">
        <v>0</v>
      </c>
      <c r="M36" s="9" t="s">
        <v>8</v>
      </c>
    </row>
    <row r="37" ht="50.4" customHeight="1" spans="1:13">
      <c r="A37" s="4" t="s">
        <v>102</v>
      </c>
      <c r="B37" s="4" t="s">
        <v>408</v>
      </c>
      <c r="C37" s="4" t="s">
        <v>0</v>
      </c>
      <c r="D37" s="6" t="s">
        <v>228</v>
      </c>
      <c r="E37" s="6" t="s">
        <v>0</v>
      </c>
      <c r="F37" s="4" t="s">
        <v>229</v>
      </c>
      <c r="G37" s="29">
        <f t="shared" ref="G37" si="8">$G$27</f>
        <v>53315.907705</v>
      </c>
      <c r="H37" s="30">
        <v>0.09</v>
      </c>
      <c r="I37" s="9">
        <f>ROUND(G37*H37/100,2)</f>
        <v>47.98</v>
      </c>
      <c r="J37" s="35"/>
      <c r="K37" s="36"/>
      <c r="L37" s="9"/>
      <c r="M37" s="9"/>
    </row>
    <row r="38" spans="1:13">
      <c r="A38" s="31" t="s">
        <v>90</v>
      </c>
      <c r="B38" s="31"/>
      <c r="C38" s="31"/>
      <c r="D38" s="31"/>
      <c r="E38" s="31"/>
      <c r="F38" s="32"/>
      <c r="G38" s="32"/>
      <c r="H38" s="32"/>
      <c r="I38" s="37">
        <f>SUM(I27:I37)</f>
        <v>4158.63</v>
      </c>
      <c r="J38" s="38"/>
      <c r="K38" s="39"/>
      <c r="L38" s="32"/>
      <c r="M38" s="32"/>
    </row>
    <row r="39" ht="50.4" customHeight="1" spans="1:13">
      <c r="A39" s="17" t="s">
        <v>409</v>
      </c>
      <c r="B39" s="17" t="s">
        <v>0</v>
      </c>
      <c r="C39" s="17" t="s">
        <v>0</v>
      </c>
      <c r="D39" s="17" t="s">
        <v>0</v>
      </c>
      <c r="E39" s="17" t="s">
        <v>0</v>
      </c>
      <c r="F39" s="17" t="s">
        <v>0</v>
      </c>
      <c r="G39" s="17"/>
      <c r="H39" s="17" t="s">
        <v>0</v>
      </c>
      <c r="I39" s="17" t="s">
        <v>0</v>
      </c>
      <c r="J39" s="17" t="s">
        <v>0</v>
      </c>
      <c r="K39" s="17" t="s">
        <v>0</v>
      </c>
      <c r="L39" s="17" t="s">
        <v>0</v>
      </c>
      <c r="M39" s="17" t="s">
        <v>0</v>
      </c>
    </row>
    <row r="41" ht="20.4" spans="1:13">
      <c r="A41" s="14" t="s">
        <v>191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3" t="s">
        <v>240</v>
      </c>
      <c r="M41" s="13"/>
    </row>
    <row r="42" spans="1:13">
      <c r="A42" s="28" t="s">
        <v>22</v>
      </c>
      <c r="B42" s="28" t="s">
        <v>0</v>
      </c>
      <c r="C42" s="17" t="s">
        <v>388</v>
      </c>
      <c r="D42" s="17" t="s">
        <v>0</v>
      </c>
      <c r="E42" s="17" t="s">
        <v>0</v>
      </c>
      <c r="F42" s="17" t="s">
        <v>0</v>
      </c>
      <c r="G42" s="17"/>
      <c r="H42" s="17" t="s">
        <v>0</v>
      </c>
      <c r="I42" s="17" t="s">
        <v>0</v>
      </c>
      <c r="J42" s="17" t="s">
        <v>0</v>
      </c>
      <c r="K42" s="17" t="s">
        <v>81</v>
      </c>
      <c r="L42" s="17" t="s">
        <v>0</v>
      </c>
      <c r="M42" s="33"/>
    </row>
    <row r="43" customHeight="1" spans="1:13">
      <c r="A43" s="28" t="s">
        <v>82</v>
      </c>
      <c r="B43" s="28" t="s">
        <v>0</v>
      </c>
      <c r="C43" s="17" t="s">
        <v>379</v>
      </c>
      <c r="D43" s="17" t="s">
        <v>0</v>
      </c>
      <c r="E43" s="17" t="s">
        <v>0</v>
      </c>
      <c r="F43" s="17" t="s">
        <v>0</v>
      </c>
      <c r="G43" s="17"/>
      <c r="H43" s="17" t="s">
        <v>0</v>
      </c>
      <c r="I43" s="17" t="s">
        <v>0</v>
      </c>
      <c r="J43" s="17" t="s">
        <v>0</v>
      </c>
      <c r="K43" s="34" t="str">
        <f>"工程数量："&amp;'[1]附表C-6营造林工程投资概算'!$D$21</f>
        <v>工程数量：8.33</v>
      </c>
      <c r="L43" s="34" t="s">
        <v>0</v>
      </c>
      <c r="M43" s="15"/>
    </row>
    <row r="44" spans="1:13">
      <c r="A44" s="28" t="s">
        <v>84</v>
      </c>
      <c r="B44" s="28" t="s">
        <v>0</v>
      </c>
      <c r="C44" s="17" t="s">
        <v>410</v>
      </c>
      <c r="D44" s="17" t="s">
        <v>0</v>
      </c>
      <c r="E44" s="17" t="s">
        <v>0</v>
      </c>
      <c r="F44" s="17" t="s">
        <v>0</v>
      </c>
      <c r="G44" s="17"/>
      <c r="H44" s="17" t="s">
        <v>0</v>
      </c>
      <c r="I44" s="17" t="s">
        <v>0</v>
      </c>
      <c r="J44" s="17" t="s">
        <v>0</v>
      </c>
      <c r="K44" s="34"/>
      <c r="L44" s="34"/>
      <c r="M44" s="15"/>
    </row>
    <row r="45" ht="45" customHeight="1" spans="1:13">
      <c r="A45" s="4" t="s">
        <v>193</v>
      </c>
      <c r="B45" s="4" t="s">
        <v>55</v>
      </c>
      <c r="C45" s="4" t="s">
        <v>0</v>
      </c>
      <c r="D45" s="4" t="s">
        <v>56</v>
      </c>
      <c r="E45" s="4" t="s">
        <v>0</v>
      </c>
      <c r="F45" s="4" t="s">
        <v>194</v>
      </c>
      <c r="G45" s="4" t="s">
        <v>195</v>
      </c>
      <c r="H45" s="4" t="s">
        <v>196</v>
      </c>
      <c r="I45" s="4" t="s">
        <v>197</v>
      </c>
      <c r="J45" s="4" t="s">
        <v>198</v>
      </c>
      <c r="K45" s="4" t="s">
        <v>0</v>
      </c>
      <c r="L45" s="4" t="s">
        <v>199</v>
      </c>
      <c r="M45" s="4" t="s">
        <v>35</v>
      </c>
    </row>
    <row r="46" spans="1:13">
      <c r="A46" s="4" t="s">
        <v>68</v>
      </c>
      <c r="B46" s="4" t="s">
        <v>411</v>
      </c>
      <c r="C46" s="4" t="s">
        <v>0</v>
      </c>
      <c r="D46" s="6" t="s">
        <v>201</v>
      </c>
      <c r="E46" s="6" t="s">
        <v>0</v>
      </c>
      <c r="F46" s="4" t="s">
        <v>8</v>
      </c>
      <c r="G46" s="4"/>
      <c r="H46" s="4" t="s">
        <v>8</v>
      </c>
      <c r="I46" s="9">
        <f>SUM(I47:I50)</f>
        <v>168.66</v>
      </c>
      <c r="J46" s="9" t="s">
        <v>0</v>
      </c>
      <c r="K46" s="9" t="s">
        <v>0</v>
      </c>
      <c r="L46" s="9" t="s">
        <v>0</v>
      </c>
      <c r="M46" s="9" t="s">
        <v>8</v>
      </c>
    </row>
    <row r="47" ht="30" customHeight="1" spans="1:13">
      <c r="A47" s="4" t="s">
        <v>202</v>
      </c>
      <c r="B47" s="4" t="s">
        <v>203</v>
      </c>
      <c r="C47" s="4" t="s">
        <v>0</v>
      </c>
      <c r="D47" s="6" t="s">
        <v>204</v>
      </c>
      <c r="E47" s="6" t="s">
        <v>0</v>
      </c>
      <c r="F47" s="4" t="s">
        <v>205</v>
      </c>
      <c r="G47" s="29">
        <f>'D3-3 分部分项工程量清单综合单价计算表(分页不带材料)~2'!$F$58*0.3</f>
        <v>2294.607351</v>
      </c>
      <c r="H47" s="4">
        <v>0.55</v>
      </c>
      <c r="I47" s="9">
        <f>ROUND(G47*H47/100,2)</f>
        <v>12.62</v>
      </c>
      <c r="J47" s="9" t="s">
        <v>0</v>
      </c>
      <c r="K47" s="9" t="s">
        <v>0</v>
      </c>
      <c r="L47" s="9" t="s">
        <v>0</v>
      </c>
      <c r="M47" s="9" t="s">
        <v>8</v>
      </c>
    </row>
    <row r="48" ht="30" customHeight="1" spans="1:13">
      <c r="A48" s="4" t="s">
        <v>206</v>
      </c>
      <c r="B48" s="4" t="s">
        <v>207</v>
      </c>
      <c r="C48" s="4" t="s">
        <v>0</v>
      </c>
      <c r="D48" s="6" t="s">
        <v>208</v>
      </c>
      <c r="E48" s="6" t="s">
        <v>0</v>
      </c>
      <c r="F48" s="4" t="s">
        <v>205</v>
      </c>
      <c r="G48" s="29">
        <f>$G$47</f>
        <v>2294.607351</v>
      </c>
      <c r="H48" s="4">
        <v>1.35</v>
      </c>
      <c r="I48" s="9">
        <f t="shared" ref="I48:I50" si="9">ROUND(G48*H48/100,2)</f>
        <v>30.98</v>
      </c>
      <c r="J48" s="9" t="s">
        <v>0</v>
      </c>
      <c r="K48" s="9" t="s">
        <v>0</v>
      </c>
      <c r="L48" s="9" t="s">
        <v>0</v>
      </c>
      <c r="M48" s="9" t="s">
        <v>8</v>
      </c>
    </row>
    <row r="49" ht="30" customHeight="1" spans="1:13">
      <c r="A49" s="4" t="s">
        <v>209</v>
      </c>
      <c r="B49" s="4" t="s">
        <v>210</v>
      </c>
      <c r="C49" s="4" t="s">
        <v>0</v>
      </c>
      <c r="D49" s="6" t="s">
        <v>211</v>
      </c>
      <c r="E49" s="6" t="s">
        <v>0</v>
      </c>
      <c r="F49" s="4" t="s">
        <v>205</v>
      </c>
      <c r="G49" s="29">
        <f t="shared" ref="G49:G50" si="10">$G$47</f>
        <v>2294.607351</v>
      </c>
      <c r="H49" s="4">
        <v>2.1</v>
      </c>
      <c r="I49" s="9">
        <f t="shared" si="9"/>
        <v>48.19</v>
      </c>
      <c r="J49" s="9" t="s">
        <v>0</v>
      </c>
      <c r="K49" s="9" t="s">
        <v>0</v>
      </c>
      <c r="L49" s="9" t="s">
        <v>0</v>
      </c>
      <c r="M49" s="9" t="s">
        <v>8</v>
      </c>
    </row>
    <row r="50" ht="30" customHeight="1" spans="1:13">
      <c r="A50" s="4" t="s">
        <v>212</v>
      </c>
      <c r="B50" s="4" t="s">
        <v>213</v>
      </c>
      <c r="C50" s="4" t="s">
        <v>0</v>
      </c>
      <c r="D50" s="6" t="s">
        <v>214</v>
      </c>
      <c r="E50" s="6" t="s">
        <v>0</v>
      </c>
      <c r="F50" s="4" t="s">
        <v>205</v>
      </c>
      <c r="G50" s="29">
        <f t="shared" si="10"/>
        <v>2294.607351</v>
      </c>
      <c r="H50" s="4">
        <v>3.35</v>
      </c>
      <c r="I50" s="9">
        <f t="shared" si="9"/>
        <v>76.87</v>
      </c>
      <c r="J50" s="9" t="s">
        <v>0</v>
      </c>
      <c r="K50" s="9" t="s">
        <v>0</v>
      </c>
      <c r="L50" s="9" t="s">
        <v>0</v>
      </c>
      <c r="M50" s="9" t="s">
        <v>8</v>
      </c>
    </row>
    <row r="51" spans="1:13">
      <c r="A51" s="4" t="s">
        <v>71</v>
      </c>
      <c r="B51" s="4" t="s">
        <v>412</v>
      </c>
      <c r="C51" s="4" t="s">
        <v>0</v>
      </c>
      <c r="D51" s="6" t="s">
        <v>216</v>
      </c>
      <c r="E51" s="6" t="s">
        <v>0</v>
      </c>
      <c r="F51" s="4" t="s">
        <v>8</v>
      </c>
      <c r="G51" s="4"/>
      <c r="H51" s="4" t="s">
        <v>8</v>
      </c>
      <c r="I51" s="9"/>
      <c r="J51" s="9" t="s">
        <v>0</v>
      </c>
      <c r="K51" s="9" t="s">
        <v>0</v>
      </c>
      <c r="L51" s="9" t="s">
        <v>0</v>
      </c>
      <c r="M51" s="9" t="s">
        <v>8</v>
      </c>
    </row>
    <row r="52" spans="1:13">
      <c r="A52" s="4" t="s">
        <v>73</v>
      </c>
      <c r="B52" s="4" t="s">
        <v>413</v>
      </c>
      <c r="C52" s="4" t="s">
        <v>0</v>
      </c>
      <c r="D52" s="6" t="s">
        <v>218</v>
      </c>
      <c r="E52" s="6" t="s">
        <v>0</v>
      </c>
      <c r="F52" s="4" t="s">
        <v>8</v>
      </c>
      <c r="G52" s="4"/>
      <c r="H52" s="4" t="s">
        <v>8</v>
      </c>
      <c r="I52" s="9"/>
      <c r="J52" s="9" t="s">
        <v>0</v>
      </c>
      <c r="K52" s="9" t="s">
        <v>0</v>
      </c>
      <c r="L52" s="9" t="s">
        <v>0</v>
      </c>
      <c r="M52" s="9" t="s">
        <v>8</v>
      </c>
    </row>
    <row r="53" ht="31.8" customHeight="1" spans="1:13">
      <c r="A53" s="4" t="s">
        <v>94</v>
      </c>
      <c r="B53" s="4" t="s">
        <v>414</v>
      </c>
      <c r="C53" s="4" t="s">
        <v>0</v>
      </c>
      <c r="D53" s="6" t="s">
        <v>220</v>
      </c>
      <c r="E53" s="6" t="s">
        <v>0</v>
      </c>
      <c r="F53" s="4" t="s">
        <v>205</v>
      </c>
      <c r="G53" s="29">
        <f t="shared" ref="G53" si="11">$G$47</f>
        <v>2294.607351</v>
      </c>
      <c r="H53" s="30">
        <v>0.36</v>
      </c>
      <c r="I53" s="9">
        <f t="shared" ref="I53" si="12">ROUND(G53*H53/100,2)</f>
        <v>8.26</v>
      </c>
      <c r="J53" s="9" t="s">
        <v>0</v>
      </c>
      <c r="K53" s="9" t="s">
        <v>0</v>
      </c>
      <c r="L53" s="9" t="s">
        <v>0</v>
      </c>
      <c r="M53" s="9" t="s">
        <v>8</v>
      </c>
    </row>
    <row r="54" spans="1:13">
      <c r="A54" s="4" t="s">
        <v>96</v>
      </c>
      <c r="B54" s="4" t="s">
        <v>415</v>
      </c>
      <c r="C54" s="4" t="s">
        <v>0</v>
      </c>
      <c r="D54" s="6" t="s">
        <v>222</v>
      </c>
      <c r="E54" s="6" t="s">
        <v>0</v>
      </c>
      <c r="F54" s="4" t="s">
        <v>8</v>
      </c>
      <c r="G54" s="4"/>
      <c r="H54" s="4" t="s">
        <v>8</v>
      </c>
      <c r="I54" s="9" t="s">
        <v>0</v>
      </c>
      <c r="J54" s="9" t="s">
        <v>0</v>
      </c>
      <c r="K54" s="9" t="s">
        <v>0</v>
      </c>
      <c r="L54" s="9" t="s">
        <v>0</v>
      </c>
      <c r="M54" s="9" t="s">
        <v>8</v>
      </c>
    </row>
    <row r="55" ht="25.8" customHeight="1" spans="1:13">
      <c r="A55" s="4" t="s">
        <v>98</v>
      </c>
      <c r="B55" s="4" t="s">
        <v>416</v>
      </c>
      <c r="C55" s="4" t="s">
        <v>0</v>
      </c>
      <c r="D55" s="6" t="s">
        <v>224</v>
      </c>
      <c r="E55" s="6" t="s">
        <v>0</v>
      </c>
      <c r="F55" s="4" t="s">
        <v>8</v>
      </c>
      <c r="G55" s="4"/>
      <c r="H55" s="4" t="s">
        <v>8</v>
      </c>
      <c r="I55" s="9" t="s">
        <v>0</v>
      </c>
      <c r="J55" s="9" t="s">
        <v>0</v>
      </c>
      <c r="K55" s="9" t="s">
        <v>0</v>
      </c>
      <c r="L55" s="9" t="s">
        <v>0</v>
      </c>
      <c r="M55" s="9" t="s">
        <v>8</v>
      </c>
    </row>
    <row r="56" spans="1:13">
      <c r="A56" s="4" t="s">
        <v>100</v>
      </c>
      <c r="B56" s="4" t="s">
        <v>417</v>
      </c>
      <c r="C56" s="4" t="s">
        <v>0</v>
      </c>
      <c r="D56" s="6" t="s">
        <v>226</v>
      </c>
      <c r="E56" s="6" t="s">
        <v>0</v>
      </c>
      <c r="F56" s="4" t="s">
        <v>8</v>
      </c>
      <c r="G56" s="4"/>
      <c r="H56" s="4" t="s">
        <v>8</v>
      </c>
      <c r="I56" s="9" t="s">
        <v>0</v>
      </c>
      <c r="J56" s="9" t="s">
        <v>0</v>
      </c>
      <c r="K56" s="9" t="s">
        <v>0</v>
      </c>
      <c r="L56" s="9" t="s">
        <v>0</v>
      </c>
      <c r="M56" s="9" t="s">
        <v>8</v>
      </c>
    </row>
    <row r="57" ht="36.6" customHeight="1" spans="1:13">
      <c r="A57" s="4" t="s">
        <v>102</v>
      </c>
      <c r="B57" s="4" t="s">
        <v>418</v>
      </c>
      <c r="C57" s="4" t="s">
        <v>0</v>
      </c>
      <c r="D57" s="6" t="s">
        <v>228</v>
      </c>
      <c r="E57" s="6" t="s">
        <v>0</v>
      </c>
      <c r="F57" s="4" t="s">
        <v>229</v>
      </c>
      <c r="G57" s="29">
        <f t="shared" ref="G57" si="13">$G$47</f>
        <v>2294.607351</v>
      </c>
      <c r="H57" s="30">
        <v>0.09</v>
      </c>
      <c r="I57" s="9">
        <f t="shared" ref="I57" si="14">ROUND(G57*H57/100,2)</f>
        <v>2.07</v>
      </c>
      <c r="J57" s="35"/>
      <c r="K57" s="36"/>
      <c r="L57" s="9"/>
      <c r="M57" s="9"/>
    </row>
    <row r="58" spans="1:13">
      <c r="A58" s="31" t="s">
        <v>90</v>
      </c>
      <c r="B58" s="31"/>
      <c r="C58" s="31"/>
      <c r="D58" s="31"/>
      <c r="E58" s="31"/>
      <c r="F58" s="32"/>
      <c r="G58" s="32"/>
      <c r="H58" s="32"/>
      <c r="I58" s="37">
        <f>SUM(I47:I57)</f>
        <v>178.99</v>
      </c>
      <c r="J58" s="38"/>
      <c r="K58" s="39"/>
      <c r="L58" s="32"/>
      <c r="M58" s="32"/>
    </row>
    <row r="59" ht="57.6" customHeight="1" spans="1:13">
      <c r="A59" s="17" t="s">
        <v>409</v>
      </c>
      <c r="B59" s="17" t="s">
        <v>0</v>
      </c>
      <c r="C59" s="17" t="s">
        <v>0</v>
      </c>
      <c r="D59" s="17" t="s">
        <v>0</v>
      </c>
      <c r="E59" s="17" t="s">
        <v>0</v>
      </c>
      <c r="F59" s="17" t="s">
        <v>0</v>
      </c>
      <c r="G59" s="17"/>
      <c r="H59" s="17" t="s">
        <v>0</v>
      </c>
      <c r="I59" s="17" t="s">
        <v>0</v>
      </c>
      <c r="J59" s="17" t="s">
        <v>0</v>
      </c>
      <c r="K59" s="17" t="s">
        <v>0</v>
      </c>
      <c r="L59" s="17" t="s">
        <v>0</v>
      </c>
      <c r="M59" s="17" t="s">
        <v>0</v>
      </c>
    </row>
  </sheetData>
  <mergeCells count="156">
    <mergeCell ref="A1:K1"/>
    <mergeCell ref="L1:M1"/>
    <mergeCell ref="A2:B2"/>
    <mergeCell ref="C2:J2"/>
    <mergeCell ref="K2:L2"/>
    <mergeCell ref="A3:B3"/>
    <mergeCell ref="C3:J3"/>
    <mergeCell ref="K3:L3"/>
    <mergeCell ref="A4:B4"/>
    <mergeCell ref="C4:J4"/>
    <mergeCell ref="K4:L4"/>
    <mergeCell ref="B5:C5"/>
    <mergeCell ref="D5:E5"/>
    <mergeCell ref="J5:K5"/>
    <mergeCell ref="B6:C6"/>
    <mergeCell ref="D6:E6"/>
    <mergeCell ref="J6:K6"/>
    <mergeCell ref="B7:C7"/>
    <mergeCell ref="D7:E7"/>
    <mergeCell ref="J7:K7"/>
    <mergeCell ref="B8:C8"/>
    <mergeCell ref="D8:E8"/>
    <mergeCell ref="J8:K8"/>
    <mergeCell ref="B9:C9"/>
    <mergeCell ref="D9:E9"/>
    <mergeCell ref="J9:K9"/>
    <mergeCell ref="B10:C10"/>
    <mergeCell ref="D10:E10"/>
    <mergeCell ref="J10:K10"/>
    <mergeCell ref="B11:C11"/>
    <mergeCell ref="D11:E11"/>
    <mergeCell ref="J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A18:E18"/>
    <mergeCell ref="J18:K18"/>
    <mergeCell ref="A19:M19"/>
    <mergeCell ref="A21:K21"/>
    <mergeCell ref="L21:M21"/>
    <mergeCell ref="A22:B22"/>
    <mergeCell ref="C22:J22"/>
    <mergeCell ref="K22:L22"/>
    <mergeCell ref="A23:B23"/>
    <mergeCell ref="C23:J23"/>
    <mergeCell ref="K23:L23"/>
    <mergeCell ref="A24:B24"/>
    <mergeCell ref="C24:J24"/>
    <mergeCell ref="K24:L24"/>
    <mergeCell ref="B25:C25"/>
    <mergeCell ref="D25:E25"/>
    <mergeCell ref="J25:K25"/>
    <mergeCell ref="B26:C26"/>
    <mergeCell ref="D26:E26"/>
    <mergeCell ref="J26:K26"/>
    <mergeCell ref="B27:C27"/>
    <mergeCell ref="D27:E27"/>
    <mergeCell ref="J27:K27"/>
    <mergeCell ref="B28:C28"/>
    <mergeCell ref="D28:E28"/>
    <mergeCell ref="J28:K28"/>
    <mergeCell ref="B29:C29"/>
    <mergeCell ref="D29:E29"/>
    <mergeCell ref="J29:K29"/>
    <mergeCell ref="B30:C30"/>
    <mergeCell ref="D30:E30"/>
    <mergeCell ref="J30:K30"/>
    <mergeCell ref="B31:C31"/>
    <mergeCell ref="D31:E31"/>
    <mergeCell ref="J31:K31"/>
    <mergeCell ref="B32:C32"/>
    <mergeCell ref="D32:E32"/>
    <mergeCell ref="J32:K32"/>
    <mergeCell ref="B33:C33"/>
    <mergeCell ref="D33:E33"/>
    <mergeCell ref="J33:K33"/>
    <mergeCell ref="B34:C34"/>
    <mergeCell ref="D34:E34"/>
    <mergeCell ref="J34:K34"/>
    <mergeCell ref="B35:C35"/>
    <mergeCell ref="D35:E35"/>
    <mergeCell ref="J35:K35"/>
    <mergeCell ref="B36:C36"/>
    <mergeCell ref="D36:E36"/>
    <mergeCell ref="J36:K36"/>
    <mergeCell ref="B37:C37"/>
    <mergeCell ref="D37:E37"/>
    <mergeCell ref="A38:E38"/>
    <mergeCell ref="J38:K38"/>
    <mergeCell ref="A39:M39"/>
    <mergeCell ref="A41:K41"/>
    <mergeCell ref="L41:M41"/>
    <mergeCell ref="A42:B42"/>
    <mergeCell ref="C42:J42"/>
    <mergeCell ref="K42:L42"/>
    <mergeCell ref="A43:B43"/>
    <mergeCell ref="C43:J43"/>
    <mergeCell ref="K43:L43"/>
    <mergeCell ref="A44:B44"/>
    <mergeCell ref="C44:J44"/>
    <mergeCell ref="K44:L44"/>
    <mergeCell ref="B45:C45"/>
    <mergeCell ref="D45:E45"/>
    <mergeCell ref="J45:K45"/>
    <mergeCell ref="B46:C46"/>
    <mergeCell ref="D46:E46"/>
    <mergeCell ref="J46:K46"/>
    <mergeCell ref="B47:C47"/>
    <mergeCell ref="D47:E47"/>
    <mergeCell ref="J47:K47"/>
    <mergeCell ref="B48:C48"/>
    <mergeCell ref="D48:E48"/>
    <mergeCell ref="J48:K48"/>
    <mergeCell ref="B49:C49"/>
    <mergeCell ref="D49:E49"/>
    <mergeCell ref="J49:K49"/>
    <mergeCell ref="B50:C50"/>
    <mergeCell ref="D50:E50"/>
    <mergeCell ref="J50:K50"/>
    <mergeCell ref="B51:C51"/>
    <mergeCell ref="D51:E51"/>
    <mergeCell ref="J51:K51"/>
    <mergeCell ref="B52:C52"/>
    <mergeCell ref="D52:E52"/>
    <mergeCell ref="J52:K52"/>
    <mergeCell ref="B53:C53"/>
    <mergeCell ref="D53:E53"/>
    <mergeCell ref="J53:K53"/>
    <mergeCell ref="B54:C54"/>
    <mergeCell ref="D54:E54"/>
    <mergeCell ref="J54:K54"/>
    <mergeCell ref="B55:C55"/>
    <mergeCell ref="D55:E55"/>
    <mergeCell ref="J55:K55"/>
    <mergeCell ref="B56:C56"/>
    <mergeCell ref="D56:E56"/>
    <mergeCell ref="J56:K56"/>
    <mergeCell ref="B57:C57"/>
    <mergeCell ref="D57:E57"/>
    <mergeCell ref="A58:E58"/>
    <mergeCell ref="J58:K58"/>
    <mergeCell ref="A59:M59"/>
  </mergeCells>
  <pageMargins left="0.708661417322835" right="0.708661417322835" top="0.748031496062992" bottom="0.748031496062992" header="0.31496062992126" footer="0.31496062992126"/>
  <pageSetup paperSize="9" scale="9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24"/>
  <sheetViews>
    <sheetView showZeros="0" workbookViewId="0">
      <selection activeCell="D5" sqref="D5"/>
    </sheetView>
  </sheetViews>
  <sheetFormatPr defaultColWidth="8.88888888888889" defaultRowHeight="14.4" outlineLevelCol="5"/>
  <cols>
    <col min="1" max="1" width="8.88888888888889" style="1"/>
    <col min="2" max="2" width="31.212962962963" style="1" customWidth="1"/>
    <col min="3" max="3" width="11.4444444444444" style="1" customWidth="1"/>
    <col min="4" max="4" width="11.6666666666667" style="1" customWidth="1"/>
    <col min="5" max="5" width="7" style="1" customWidth="1"/>
    <col min="6" max="6" width="17.6666666666667" style="1" customWidth="1"/>
    <col min="7" max="16384" width="8.88888888888889" style="1"/>
  </cols>
  <sheetData>
    <row r="1" ht="30.6" customHeight="1" spans="1:6">
      <c r="A1" s="14" t="s">
        <v>252</v>
      </c>
      <c r="B1" s="14" t="s">
        <v>0</v>
      </c>
      <c r="C1" s="14" t="s">
        <v>0</v>
      </c>
      <c r="D1" s="14" t="s">
        <v>0</v>
      </c>
      <c r="E1" s="14" t="s">
        <v>0</v>
      </c>
      <c r="F1" s="14" t="s">
        <v>0</v>
      </c>
    </row>
    <row r="2" s="52" customFormat="1" ht="19.95" customHeight="1" spans="1:6">
      <c r="A2" s="26"/>
      <c r="B2" s="26"/>
      <c r="C2" s="26"/>
      <c r="D2" s="26"/>
      <c r="E2" s="26"/>
      <c r="F2" s="13" t="s">
        <v>253</v>
      </c>
    </row>
    <row r="3" s="52" customFormat="1" ht="38.4" customHeight="1" spans="1:6">
      <c r="A3" s="16" t="s">
        <v>22</v>
      </c>
      <c r="B3" s="17" t="s">
        <v>388</v>
      </c>
      <c r="C3" s="17"/>
      <c r="D3" s="17"/>
      <c r="E3" s="17"/>
      <c r="F3" s="16" t="str">
        <f>"工程数量："&amp;'[1]附表A-3建设任务按行政区划统计表'!$P$5&amp;"亩"</f>
        <v>工程数量：1165.55亩</v>
      </c>
    </row>
    <row r="4" s="52" customFormat="1" ht="36" customHeight="1" spans="1:6">
      <c r="A4" s="4" t="s">
        <v>28</v>
      </c>
      <c r="B4" s="4" t="s">
        <v>254</v>
      </c>
      <c r="C4" s="4" t="s">
        <v>59</v>
      </c>
      <c r="D4" s="4" t="s">
        <v>255</v>
      </c>
      <c r="E4" s="4" t="s">
        <v>35</v>
      </c>
      <c r="F4" s="4" t="s">
        <v>0</v>
      </c>
    </row>
    <row r="5" ht="19.95" customHeight="1" spans="1:6">
      <c r="A5" s="4" t="s">
        <v>68</v>
      </c>
      <c r="B5" s="6" t="s">
        <v>256</v>
      </c>
      <c r="C5" s="9">
        <f>'F1.1暂列金额明细表（FY型）'!D26+'F1.1暂列金额明细表（FY型）'!D55+'F1.1暂列金额明细表（FY型）'!D84</f>
        <v>0</v>
      </c>
      <c r="D5" s="9" t="s">
        <v>0</v>
      </c>
      <c r="E5" s="4"/>
      <c r="F5" s="4"/>
    </row>
    <row r="6" ht="19.95" customHeight="1" spans="1:6">
      <c r="A6" s="4" t="s">
        <v>71</v>
      </c>
      <c r="B6" s="6" t="s">
        <v>257</v>
      </c>
      <c r="C6" s="9" t="s">
        <v>8</v>
      </c>
      <c r="D6" s="9" t="s">
        <v>0</v>
      </c>
      <c r="E6" s="4"/>
      <c r="F6" s="4"/>
    </row>
    <row r="7" ht="19.95" customHeight="1" spans="1:6">
      <c r="A7" s="4" t="s">
        <v>258</v>
      </c>
      <c r="B7" s="6" t="s">
        <v>259</v>
      </c>
      <c r="C7" s="4" t="s">
        <v>260</v>
      </c>
      <c r="D7" s="9" t="s">
        <v>0</v>
      </c>
      <c r="E7" s="4"/>
      <c r="F7" s="4"/>
    </row>
    <row r="8" ht="19.95" customHeight="1" spans="1:6">
      <c r="A8" s="4" t="s">
        <v>261</v>
      </c>
      <c r="B8" s="6" t="s">
        <v>262</v>
      </c>
      <c r="C8" s="9" t="s">
        <v>8</v>
      </c>
      <c r="D8" s="9" t="s">
        <v>0</v>
      </c>
      <c r="E8" s="4"/>
      <c r="F8" s="4"/>
    </row>
    <row r="9" ht="19.95" customHeight="1" spans="1:6">
      <c r="A9" s="4" t="s">
        <v>73</v>
      </c>
      <c r="B9" s="6" t="s">
        <v>263</v>
      </c>
      <c r="C9" s="9" t="s">
        <v>8</v>
      </c>
      <c r="D9" s="9" t="s">
        <v>0</v>
      </c>
      <c r="E9" s="4"/>
      <c r="F9" s="4"/>
    </row>
    <row r="10" ht="19.95" customHeight="1" spans="1:6">
      <c r="A10" s="4" t="s">
        <v>94</v>
      </c>
      <c r="B10" s="6" t="s">
        <v>264</v>
      </c>
      <c r="C10" s="9" t="s">
        <v>8</v>
      </c>
      <c r="D10" s="9" t="s">
        <v>0</v>
      </c>
      <c r="E10" s="4"/>
      <c r="F10" s="4"/>
    </row>
    <row r="11" ht="19.95" customHeight="1" spans="1:6">
      <c r="A11" s="4" t="s">
        <v>0</v>
      </c>
      <c r="B11" s="6" t="s">
        <v>0</v>
      </c>
      <c r="C11" s="9" t="s">
        <v>0</v>
      </c>
      <c r="D11" s="9" t="s">
        <v>0</v>
      </c>
      <c r="E11" s="4" t="s">
        <v>0</v>
      </c>
      <c r="F11" s="4" t="s">
        <v>0</v>
      </c>
    </row>
    <row r="12" ht="19.95" customHeight="1" spans="1:6">
      <c r="A12" s="4" t="s">
        <v>0</v>
      </c>
      <c r="B12" s="6" t="s">
        <v>0</v>
      </c>
      <c r="C12" s="9" t="s">
        <v>0</v>
      </c>
      <c r="D12" s="9" t="s">
        <v>0</v>
      </c>
      <c r="E12" s="4" t="s">
        <v>0</v>
      </c>
      <c r="F12" s="4" t="s">
        <v>0</v>
      </c>
    </row>
    <row r="13" ht="19.95" customHeight="1" spans="1:6">
      <c r="A13" s="4" t="s">
        <v>0</v>
      </c>
      <c r="B13" s="6" t="s">
        <v>0</v>
      </c>
      <c r="C13" s="9" t="s">
        <v>0</v>
      </c>
      <c r="D13" s="9" t="s">
        <v>0</v>
      </c>
      <c r="E13" s="4" t="s">
        <v>0</v>
      </c>
      <c r="F13" s="4" t="s">
        <v>0</v>
      </c>
    </row>
    <row r="14" ht="19.95" customHeight="1" spans="1:6">
      <c r="A14" s="4" t="s">
        <v>0</v>
      </c>
      <c r="B14" s="6" t="s">
        <v>0</v>
      </c>
      <c r="C14" s="9" t="s">
        <v>0</v>
      </c>
      <c r="D14" s="9" t="s">
        <v>0</v>
      </c>
      <c r="E14" s="4" t="s">
        <v>0</v>
      </c>
      <c r="F14" s="4" t="s">
        <v>0</v>
      </c>
    </row>
    <row r="15" ht="19.95" customHeight="1" spans="1:6">
      <c r="A15" s="4" t="s">
        <v>0</v>
      </c>
      <c r="B15" s="6" t="s">
        <v>0</v>
      </c>
      <c r="C15" s="9" t="s">
        <v>0</v>
      </c>
      <c r="D15" s="9" t="s">
        <v>0</v>
      </c>
      <c r="E15" s="4" t="s">
        <v>0</v>
      </c>
      <c r="F15" s="4" t="s">
        <v>0</v>
      </c>
    </row>
    <row r="16" ht="19.95" customHeight="1" spans="1:6">
      <c r="A16" s="4" t="s">
        <v>0</v>
      </c>
      <c r="B16" s="6" t="s">
        <v>0</v>
      </c>
      <c r="C16" s="9" t="s">
        <v>0</v>
      </c>
      <c r="D16" s="9" t="s">
        <v>0</v>
      </c>
      <c r="E16" s="4" t="s">
        <v>0</v>
      </c>
      <c r="F16" s="4" t="s">
        <v>0</v>
      </c>
    </row>
    <row r="17" ht="19.95" customHeight="1" spans="1:6">
      <c r="A17" s="4" t="s">
        <v>0</v>
      </c>
      <c r="B17" s="6" t="s">
        <v>0</v>
      </c>
      <c r="C17" s="9" t="s">
        <v>0</v>
      </c>
      <c r="D17" s="9" t="s">
        <v>0</v>
      </c>
      <c r="E17" s="4" t="s">
        <v>0</v>
      </c>
      <c r="F17" s="4" t="s">
        <v>0</v>
      </c>
    </row>
    <row r="18" ht="19.95" customHeight="1" spans="1:6">
      <c r="A18" s="4" t="s">
        <v>0</v>
      </c>
      <c r="B18" s="6" t="s">
        <v>0</v>
      </c>
      <c r="C18" s="9" t="s">
        <v>0</v>
      </c>
      <c r="D18" s="9" t="s">
        <v>0</v>
      </c>
      <c r="E18" s="4" t="s">
        <v>0</v>
      </c>
      <c r="F18" s="4" t="s">
        <v>0</v>
      </c>
    </row>
    <row r="19" ht="19.95" customHeight="1" spans="1:6">
      <c r="A19" s="4" t="s">
        <v>0</v>
      </c>
      <c r="B19" s="6" t="s">
        <v>0</v>
      </c>
      <c r="C19" s="9" t="s">
        <v>0</v>
      </c>
      <c r="D19" s="9" t="s">
        <v>0</v>
      </c>
      <c r="E19" s="4" t="s">
        <v>0</v>
      </c>
      <c r="F19" s="4" t="s">
        <v>0</v>
      </c>
    </row>
    <row r="20" ht="19.95" customHeight="1" spans="1:6">
      <c r="A20" s="4" t="s">
        <v>0</v>
      </c>
      <c r="B20" s="6" t="s">
        <v>0</v>
      </c>
      <c r="C20" s="9" t="s">
        <v>0</v>
      </c>
      <c r="D20" s="9" t="s">
        <v>0</v>
      </c>
      <c r="E20" s="4" t="s">
        <v>0</v>
      </c>
      <c r="F20" s="4" t="s">
        <v>0</v>
      </c>
    </row>
    <row r="21" ht="19.95" customHeight="1" spans="1:6">
      <c r="A21" s="4" t="s">
        <v>0</v>
      </c>
      <c r="B21" s="6" t="s">
        <v>0</v>
      </c>
      <c r="C21" s="9" t="s">
        <v>0</v>
      </c>
      <c r="D21" s="9" t="s">
        <v>0</v>
      </c>
      <c r="E21" s="4" t="s">
        <v>0</v>
      </c>
      <c r="F21" s="4" t="s">
        <v>0</v>
      </c>
    </row>
    <row r="22" ht="19.95" customHeight="1" spans="1:6">
      <c r="A22" s="4" t="s">
        <v>0</v>
      </c>
      <c r="B22" s="6" t="s">
        <v>0</v>
      </c>
      <c r="C22" s="9" t="s">
        <v>0</v>
      </c>
      <c r="D22" s="9" t="s">
        <v>0</v>
      </c>
      <c r="E22" s="4" t="s">
        <v>0</v>
      </c>
      <c r="F22" s="4" t="s">
        <v>0</v>
      </c>
    </row>
    <row r="23" ht="19.95" customHeight="1" spans="1:6">
      <c r="A23" s="4" t="s">
        <v>0</v>
      </c>
      <c r="B23" s="6" t="s">
        <v>0</v>
      </c>
      <c r="C23" s="9" t="s">
        <v>0</v>
      </c>
      <c r="D23" s="9" t="s">
        <v>0</v>
      </c>
      <c r="E23" s="4" t="s">
        <v>0</v>
      </c>
      <c r="F23" s="4" t="s">
        <v>0</v>
      </c>
    </row>
    <row r="24" ht="19.95" customHeight="1" spans="1:6">
      <c r="A24" s="4" t="s">
        <v>76</v>
      </c>
      <c r="B24" s="4" t="s">
        <v>0</v>
      </c>
      <c r="C24" s="9">
        <f>SUM(C5:C23)</f>
        <v>0</v>
      </c>
      <c r="D24" s="4" t="s">
        <v>0</v>
      </c>
      <c r="E24" s="4" t="s">
        <v>260</v>
      </c>
      <c r="F24" s="4" t="s">
        <v>0</v>
      </c>
    </row>
  </sheetData>
  <mergeCells count="25">
    <mergeCell ref="A1:F1"/>
    <mergeCell ref="C2:E2"/>
    <mergeCell ref="B3:E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A24:B24"/>
    <mergeCell ref="E24:F2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86"/>
  <sheetViews>
    <sheetView showZeros="0" topLeftCell="A70" workbookViewId="0">
      <selection activeCell="G68" sqref="G68"/>
    </sheetView>
  </sheetViews>
  <sheetFormatPr defaultColWidth="8.88888888888889" defaultRowHeight="19.95" customHeight="1" outlineLevelCol="4"/>
  <cols>
    <col min="1" max="1" width="10.5555555555556" style="1" customWidth="1"/>
    <col min="2" max="3" width="17.3333333333333" style="1" customWidth="1"/>
    <col min="4" max="4" width="24.1111111111111" style="1" customWidth="1"/>
    <col min="5" max="5" width="17.3333333333333" style="1" customWidth="1"/>
    <col min="6" max="16384" width="8.88888888888889" style="1"/>
  </cols>
  <sheetData>
    <row r="1" customHeight="1" spans="1:5">
      <c r="A1" s="22" t="s">
        <v>265</v>
      </c>
      <c r="B1" s="22" t="s">
        <v>0</v>
      </c>
      <c r="C1" s="22" t="s">
        <v>0</v>
      </c>
      <c r="D1" s="22" t="s">
        <v>0</v>
      </c>
      <c r="E1" s="22" t="s">
        <v>0</v>
      </c>
    </row>
    <row r="2" customHeight="1" spans="1:5">
      <c r="A2" s="23"/>
      <c r="B2" s="23"/>
      <c r="C2" s="23"/>
      <c r="D2" s="23"/>
      <c r="E2" s="15" t="s">
        <v>266</v>
      </c>
    </row>
    <row r="3" customHeight="1" spans="1:5">
      <c r="A3" s="16" t="s">
        <v>22</v>
      </c>
      <c r="B3" s="17" t="s">
        <v>388</v>
      </c>
      <c r="C3" s="17"/>
      <c r="D3" s="17"/>
      <c r="E3" s="16" t="s">
        <v>81</v>
      </c>
    </row>
    <row r="4" customHeight="1" spans="1:5">
      <c r="A4" s="16" t="s">
        <v>82</v>
      </c>
      <c r="B4" s="17" t="s">
        <v>360</v>
      </c>
      <c r="C4" s="17"/>
      <c r="D4" s="17"/>
      <c r="E4" s="75" t="str">
        <f>"工程数量："&amp;'[1]附表C-6营造林工程投资概算'!$D$19</f>
        <v>工程数量：963.67</v>
      </c>
    </row>
    <row r="5" customHeight="1" spans="1:5">
      <c r="A5" s="16" t="s">
        <v>84</v>
      </c>
      <c r="B5" s="18" t="s">
        <v>419</v>
      </c>
      <c r="C5" s="18"/>
      <c r="D5" s="18"/>
      <c r="E5" s="24"/>
    </row>
    <row r="6" customHeight="1" spans="1:5">
      <c r="A6" s="4" t="s">
        <v>28</v>
      </c>
      <c r="B6" s="4" t="s">
        <v>56</v>
      </c>
      <c r="C6" s="4" t="s">
        <v>267</v>
      </c>
      <c r="D6" s="4" t="s">
        <v>268</v>
      </c>
      <c r="E6" s="4" t="s">
        <v>35</v>
      </c>
    </row>
    <row r="7" customHeight="1" spans="1:5">
      <c r="A7" s="4" t="s">
        <v>68</v>
      </c>
      <c r="B7" s="6" t="s">
        <v>256</v>
      </c>
      <c r="C7" s="4" t="s">
        <v>269</v>
      </c>
      <c r="D7" s="9"/>
      <c r="E7" s="6" t="s">
        <v>8</v>
      </c>
    </row>
    <row r="8" customHeight="1" spans="1:5">
      <c r="A8" s="4" t="s">
        <v>0</v>
      </c>
      <c r="B8" s="6" t="s">
        <v>0</v>
      </c>
      <c r="C8" s="4" t="s">
        <v>0</v>
      </c>
      <c r="D8" s="9" t="s">
        <v>0</v>
      </c>
      <c r="E8" s="6" t="s">
        <v>0</v>
      </c>
    </row>
    <row r="9" customHeight="1" spans="1:5">
      <c r="A9" s="4" t="s">
        <v>0</v>
      </c>
      <c r="B9" s="6" t="s">
        <v>0</v>
      </c>
      <c r="C9" s="4" t="s">
        <v>0</v>
      </c>
      <c r="D9" s="9" t="s">
        <v>0</v>
      </c>
      <c r="E9" s="6" t="s">
        <v>0</v>
      </c>
    </row>
    <row r="10" customHeight="1" spans="1:5">
      <c r="A10" s="4" t="s">
        <v>0</v>
      </c>
      <c r="B10" s="6" t="s">
        <v>0</v>
      </c>
      <c r="C10" s="4" t="s">
        <v>0</v>
      </c>
      <c r="D10" s="9" t="s">
        <v>0</v>
      </c>
      <c r="E10" s="6" t="s">
        <v>0</v>
      </c>
    </row>
    <row r="11" customHeight="1" spans="1:5">
      <c r="A11" s="4" t="s">
        <v>0</v>
      </c>
      <c r="B11" s="6" t="s">
        <v>0</v>
      </c>
      <c r="C11" s="4" t="s">
        <v>0</v>
      </c>
      <c r="D11" s="9" t="s">
        <v>0</v>
      </c>
      <c r="E11" s="6" t="s">
        <v>0</v>
      </c>
    </row>
    <row r="12" customHeight="1" spans="1:5">
      <c r="A12" s="4" t="s">
        <v>0</v>
      </c>
      <c r="B12" s="6" t="s">
        <v>0</v>
      </c>
      <c r="C12" s="4" t="s">
        <v>0</v>
      </c>
      <c r="D12" s="9" t="s">
        <v>0</v>
      </c>
      <c r="E12" s="6" t="s">
        <v>0</v>
      </c>
    </row>
    <row r="13" customHeight="1" spans="1:5">
      <c r="A13" s="4" t="s">
        <v>0</v>
      </c>
      <c r="B13" s="6" t="s">
        <v>0</v>
      </c>
      <c r="C13" s="4" t="s">
        <v>0</v>
      </c>
      <c r="D13" s="9" t="s">
        <v>0</v>
      </c>
      <c r="E13" s="6" t="s">
        <v>0</v>
      </c>
    </row>
    <row r="14" customHeight="1" spans="1:5">
      <c r="A14" s="4" t="s">
        <v>0</v>
      </c>
      <c r="B14" s="6" t="s">
        <v>0</v>
      </c>
      <c r="C14" s="4" t="s">
        <v>0</v>
      </c>
      <c r="D14" s="9" t="s">
        <v>0</v>
      </c>
      <c r="E14" s="6" t="s">
        <v>0</v>
      </c>
    </row>
    <row r="15" customHeight="1" spans="1:5">
      <c r="A15" s="4" t="s">
        <v>0</v>
      </c>
      <c r="B15" s="6" t="s">
        <v>0</v>
      </c>
      <c r="C15" s="4" t="s">
        <v>0</v>
      </c>
      <c r="D15" s="9" t="s">
        <v>0</v>
      </c>
      <c r="E15" s="6" t="s">
        <v>0</v>
      </c>
    </row>
    <row r="16" customHeight="1" spans="1:5">
      <c r="A16" s="4" t="s">
        <v>0</v>
      </c>
      <c r="B16" s="6" t="s">
        <v>0</v>
      </c>
      <c r="C16" s="4" t="s">
        <v>0</v>
      </c>
      <c r="D16" s="9" t="s">
        <v>0</v>
      </c>
      <c r="E16" s="6" t="s">
        <v>0</v>
      </c>
    </row>
    <row r="17" customHeight="1" spans="1:5">
      <c r="A17" s="4" t="s">
        <v>0</v>
      </c>
      <c r="B17" s="6" t="s">
        <v>0</v>
      </c>
      <c r="C17" s="4" t="s">
        <v>0</v>
      </c>
      <c r="D17" s="9" t="s">
        <v>0</v>
      </c>
      <c r="E17" s="6" t="s">
        <v>0</v>
      </c>
    </row>
    <row r="18" customHeight="1" spans="1:5">
      <c r="A18" s="4" t="s">
        <v>0</v>
      </c>
      <c r="B18" s="6" t="s">
        <v>0</v>
      </c>
      <c r="C18" s="4" t="s">
        <v>0</v>
      </c>
      <c r="D18" s="9" t="s">
        <v>0</v>
      </c>
      <c r="E18" s="6" t="s">
        <v>0</v>
      </c>
    </row>
    <row r="19" customHeight="1" spans="1:5">
      <c r="A19" s="4" t="s">
        <v>0</v>
      </c>
      <c r="B19" s="6" t="s">
        <v>0</v>
      </c>
      <c r="C19" s="4" t="s">
        <v>0</v>
      </c>
      <c r="D19" s="9" t="s">
        <v>0</v>
      </c>
      <c r="E19" s="6" t="s">
        <v>0</v>
      </c>
    </row>
    <row r="20" customHeight="1" spans="1:5">
      <c r="A20" s="4" t="s">
        <v>0</v>
      </c>
      <c r="B20" s="6" t="s">
        <v>0</v>
      </c>
      <c r="C20" s="4" t="s">
        <v>0</v>
      </c>
      <c r="D20" s="9" t="s">
        <v>0</v>
      </c>
      <c r="E20" s="6" t="s">
        <v>0</v>
      </c>
    </row>
    <row r="21" customHeight="1" spans="1:5">
      <c r="A21" s="4" t="s">
        <v>0</v>
      </c>
      <c r="B21" s="6" t="s">
        <v>0</v>
      </c>
      <c r="C21" s="4" t="s">
        <v>0</v>
      </c>
      <c r="D21" s="9" t="s">
        <v>0</v>
      </c>
      <c r="E21" s="6" t="s">
        <v>0</v>
      </c>
    </row>
    <row r="22" customHeight="1" spans="1:5">
      <c r="A22" s="4" t="s">
        <v>0</v>
      </c>
      <c r="B22" s="6" t="s">
        <v>0</v>
      </c>
      <c r="C22" s="4" t="s">
        <v>0</v>
      </c>
      <c r="D22" s="9" t="s">
        <v>0</v>
      </c>
      <c r="E22" s="6" t="s">
        <v>0</v>
      </c>
    </row>
    <row r="23" customHeight="1" spans="1:5">
      <c r="A23" s="4" t="s">
        <v>0</v>
      </c>
      <c r="B23" s="6" t="s">
        <v>0</v>
      </c>
      <c r="C23" s="4" t="s">
        <v>0</v>
      </c>
      <c r="D23" s="9" t="s">
        <v>0</v>
      </c>
      <c r="E23" s="6" t="s">
        <v>0</v>
      </c>
    </row>
    <row r="24" customHeight="1" spans="1:5">
      <c r="A24" s="4" t="s">
        <v>0</v>
      </c>
      <c r="B24" s="6" t="s">
        <v>0</v>
      </c>
      <c r="C24" s="4" t="s">
        <v>0</v>
      </c>
      <c r="D24" s="9" t="s">
        <v>0</v>
      </c>
      <c r="E24" s="6" t="s">
        <v>0</v>
      </c>
    </row>
    <row r="25" customHeight="1" spans="1:5">
      <c r="A25" s="4" t="s">
        <v>0</v>
      </c>
      <c r="B25" s="6" t="s">
        <v>0</v>
      </c>
      <c r="C25" s="4" t="s">
        <v>0</v>
      </c>
      <c r="D25" s="9" t="s">
        <v>0</v>
      </c>
      <c r="E25" s="6" t="s">
        <v>0</v>
      </c>
    </row>
    <row r="26" customHeight="1" spans="1:5">
      <c r="A26" s="4" t="s">
        <v>76</v>
      </c>
      <c r="B26" s="4" t="s">
        <v>0</v>
      </c>
      <c r="C26" s="4" t="s">
        <v>0</v>
      </c>
      <c r="D26" s="4">
        <f>SUM(D7:D25)</f>
        <v>0</v>
      </c>
      <c r="E26" s="4" t="s">
        <v>260</v>
      </c>
    </row>
    <row r="27" customHeight="1" spans="1:5">
      <c r="A27" s="25"/>
      <c r="B27" s="25"/>
      <c r="C27" s="25"/>
      <c r="D27" s="25"/>
      <c r="E27" s="25"/>
    </row>
    <row r="28" ht="31.2" customHeight="1" spans="1:5">
      <c r="A28" s="26" t="s">
        <v>270</v>
      </c>
      <c r="B28" s="26" t="s">
        <v>0</v>
      </c>
      <c r="C28" s="26" t="s">
        <v>0</v>
      </c>
      <c r="D28" s="26" t="s">
        <v>0</v>
      </c>
      <c r="E28" s="26" t="s">
        <v>0</v>
      </c>
    </row>
    <row r="29" ht="194.4" customHeight="1"/>
    <row r="30" customHeight="1" spans="1:5">
      <c r="A30" s="22" t="s">
        <v>265</v>
      </c>
      <c r="B30" s="22" t="s">
        <v>0</v>
      </c>
      <c r="C30" s="22" t="s">
        <v>0</v>
      </c>
      <c r="D30" s="22" t="s">
        <v>0</v>
      </c>
      <c r="E30" s="22" t="s">
        <v>0</v>
      </c>
    </row>
    <row r="31" customHeight="1" spans="1:5">
      <c r="A31" s="23"/>
      <c r="B31" s="23"/>
      <c r="C31" s="23"/>
      <c r="D31" s="23"/>
      <c r="E31" s="15" t="s">
        <v>271</v>
      </c>
    </row>
    <row r="32" customHeight="1" spans="1:5">
      <c r="A32" s="16" t="s">
        <v>22</v>
      </c>
      <c r="B32" s="17" t="s">
        <v>388</v>
      </c>
      <c r="C32" s="17"/>
      <c r="D32" s="17"/>
      <c r="E32" s="16" t="s">
        <v>81</v>
      </c>
    </row>
    <row r="33" customHeight="1" spans="1:5">
      <c r="A33" s="16" t="s">
        <v>82</v>
      </c>
      <c r="B33" s="17" t="s">
        <v>399</v>
      </c>
      <c r="C33" s="17"/>
      <c r="D33" s="17"/>
      <c r="E33" s="75" t="str">
        <f>"工程数量："&amp;'[1]附表C-6营造林工程投资概算'!$D$20</f>
        <v>工程数量：193.55</v>
      </c>
    </row>
    <row r="34" customHeight="1" spans="1:5">
      <c r="A34" s="16" t="s">
        <v>84</v>
      </c>
      <c r="B34" s="18" t="s">
        <v>420</v>
      </c>
      <c r="C34" s="18"/>
      <c r="D34" s="18"/>
      <c r="E34" s="24"/>
    </row>
    <row r="35" customHeight="1" spans="1:5">
      <c r="A35" s="4" t="s">
        <v>28</v>
      </c>
      <c r="B35" s="4" t="s">
        <v>56</v>
      </c>
      <c r="C35" s="4" t="s">
        <v>267</v>
      </c>
      <c r="D35" s="4" t="s">
        <v>268</v>
      </c>
      <c r="E35" s="4" t="s">
        <v>35</v>
      </c>
    </row>
    <row r="36" customHeight="1" spans="1:5">
      <c r="A36" s="4" t="s">
        <v>68</v>
      </c>
      <c r="B36" s="6" t="s">
        <v>256</v>
      </c>
      <c r="C36" s="4" t="s">
        <v>269</v>
      </c>
      <c r="D36" s="9"/>
      <c r="E36" s="6" t="s">
        <v>8</v>
      </c>
    </row>
    <row r="37" customHeight="1" spans="1:5">
      <c r="A37" s="4" t="s">
        <v>0</v>
      </c>
      <c r="B37" s="6" t="s">
        <v>0</v>
      </c>
      <c r="C37" s="4" t="s">
        <v>0</v>
      </c>
      <c r="D37" s="9" t="s">
        <v>0</v>
      </c>
      <c r="E37" s="6" t="s">
        <v>0</v>
      </c>
    </row>
    <row r="38" customHeight="1" spans="1:5">
      <c r="A38" s="4" t="s">
        <v>0</v>
      </c>
      <c r="B38" s="6" t="s">
        <v>0</v>
      </c>
      <c r="C38" s="4" t="s">
        <v>0</v>
      </c>
      <c r="D38" s="9" t="s">
        <v>0</v>
      </c>
      <c r="E38" s="6" t="s">
        <v>0</v>
      </c>
    </row>
    <row r="39" customHeight="1" spans="1:5">
      <c r="A39" s="4" t="s">
        <v>0</v>
      </c>
      <c r="B39" s="6" t="s">
        <v>0</v>
      </c>
      <c r="C39" s="4" t="s">
        <v>0</v>
      </c>
      <c r="D39" s="9" t="s">
        <v>0</v>
      </c>
      <c r="E39" s="6" t="s">
        <v>0</v>
      </c>
    </row>
    <row r="40" customHeight="1" spans="1:5">
      <c r="A40" s="4" t="s">
        <v>0</v>
      </c>
      <c r="B40" s="6" t="s">
        <v>0</v>
      </c>
      <c r="C40" s="4" t="s">
        <v>0</v>
      </c>
      <c r="D40" s="9" t="s">
        <v>0</v>
      </c>
      <c r="E40" s="6" t="s">
        <v>0</v>
      </c>
    </row>
    <row r="41" customHeight="1" spans="1:5">
      <c r="A41" s="4" t="s">
        <v>0</v>
      </c>
      <c r="B41" s="6" t="s">
        <v>0</v>
      </c>
      <c r="C41" s="4" t="s">
        <v>0</v>
      </c>
      <c r="D41" s="9" t="s">
        <v>0</v>
      </c>
      <c r="E41" s="6" t="s">
        <v>0</v>
      </c>
    </row>
    <row r="42" customHeight="1" spans="1:5">
      <c r="A42" s="4" t="s">
        <v>0</v>
      </c>
      <c r="B42" s="6" t="s">
        <v>0</v>
      </c>
      <c r="C42" s="4" t="s">
        <v>0</v>
      </c>
      <c r="D42" s="9" t="s">
        <v>0</v>
      </c>
      <c r="E42" s="6" t="s">
        <v>0</v>
      </c>
    </row>
    <row r="43" customHeight="1" spans="1:5">
      <c r="A43" s="4" t="s">
        <v>0</v>
      </c>
      <c r="B43" s="6" t="s">
        <v>0</v>
      </c>
      <c r="C43" s="4" t="s">
        <v>0</v>
      </c>
      <c r="D43" s="9" t="s">
        <v>0</v>
      </c>
      <c r="E43" s="6" t="s">
        <v>0</v>
      </c>
    </row>
    <row r="44" customHeight="1" spans="1:5">
      <c r="A44" s="4" t="s">
        <v>0</v>
      </c>
      <c r="B44" s="6" t="s">
        <v>0</v>
      </c>
      <c r="C44" s="4" t="s">
        <v>0</v>
      </c>
      <c r="D44" s="9" t="s">
        <v>0</v>
      </c>
      <c r="E44" s="6" t="s">
        <v>0</v>
      </c>
    </row>
    <row r="45" customHeight="1" spans="1:5">
      <c r="A45" s="4" t="s">
        <v>0</v>
      </c>
      <c r="B45" s="6" t="s">
        <v>0</v>
      </c>
      <c r="C45" s="4" t="s">
        <v>0</v>
      </c>
      <c r="D45" s="9" t="s">
        <v>0</v>
      </c>
      <c r="E45" s="6" t="s">
        <v>0</v>
      </c>
    </row>
    <row r="46" customHeight="1" spans="1:5">
      <c r="A46" s="4" t="s">
        <v>0</v>
      </c>
      <c r="B46" s="6" t="s">
        <v>0</v>
      </c>
      <c r="C46" s="4" t="s">
        <v>0</v>
      </c>
      <c r="D46" s="9" t="s">
        <v>0</v>
      </c>
      <c r="E46" s="6" t="s">
        <v>0</v>
      </c>
    </row>
    <row r="47" customHeight="1" spans="1:5">
      <c r="A47" s="4" t="s">
        <v>0</v>
      </c>
      <c r="B47" s="6" t="s">
        <v>0</v>
      </c>
      <c r="C47" s="4" t="s">
        <v>0</v>
      </c>
      <c r="D47" s="9" t="s">
        <v>0</v>
      </c>
      <c r="E47" s="6" t="s">
        <v>0</v>
      </c>
    </row>
    <row r="48" customHeight="1" spans="1:5">
      <c r="A48" s="4" t="s">
        <v>0</v>
      </c>
      <c r="B48" s="6" t="s">
        <v>0</v>
      </c>
      <c r="C48" s="4" t="s">
        <v>0</v>
      </c>
      <c r="D48" s="9" t="s">
        <v>0</v>
      </c>
      <c r="E48" s="6" t="s">
        <v>0</v>
      </c>
    </row>
    <row r="49" customHeight="1" spans="1:5">
      <c r="A49" s="4" t="s">
        <v>0</v>
      </c>
      <c r="B49" s="6" t="s">
        <v>0</v>
      </c>
      <c r="C49" s="4" t="s">
        <v>0</v>
      </c>
      <c r="D49" s="9" t="s">
        <v>0</v>
      </c>
      <c r="E49" s="6" t="s">
        <v>0</v>
      </c>
    </row>
    <row r="50" customHeight="1" spans="1:5">
      <c r="A50" s="4" t="s">
        <v>0</v>
      </c>
      <c r="B50" s="6" t="s">
        <v>0</v>
      </c>
      <c r="C50" s="4" t="s">
        <v>0</v>
      </c>
      <c r="D50" s="9" t="s">
        <v>0</v>
      </c>
      <c r="E50" s="6" t="s">
        <v>0</v>
      </c>
    </row>
    <row r="51" customHeight="1" spans="1:5">
      <c r="A51" s="4" t="s">
        <v>0</v>
      </c>
      <c r="B51" s="6" t="s">
        <v>0</v>
      </c>
      <c r="C51" s="4" t="s">
        <v>0</v>
      </c>
      <c r="D51" s="9" t="s">
        <v>0</v>
      </c>
      <c r="E51" s="6" t="s">
        <v>0</v>
      </c>
    </row>
    <row r="52" customHeight="1" spans="1:5">
      <c r="A52" s="4" t="s">
        <v>0</v>
      </c>
      <c r="B52" s="6" t="s">
        <v>0</v>
      </c>
      <c r="C52" s="4" t="s">
        <v>0</v>
      </c>
      <c r="D52" s="9" t="s">
        <v>0</v>
      </c>
      <c r="E52" s="6" t="s">
        <v>0</v>
      </c>
    </row>
    <row r="53" customHeight="1" spans="1:5">
      <c r="A53" s="4" t="s">
        <v>0</v>
      </c>
      <c r="B53" s="6" t="s">
        <v>0</v>
      </c>
      <c r="C53" s="4" t="s">
        <v>0</v>
      </c>
      <c r="D53" s="9" t="s">
        <v>0</v>
      </c>
      <c r="E53" s="6" t="s">
        <v>0</v>
      </c>
    </row>
    <row r="54" customHeight="1" spans="1:5">
      <c r="A54" s="4" t="s">
        <v>0</v>
      </c>
      <c r="B54" s="6" t="s">
        <v>0</v>
      </c>
      <c r="C54" s="4" t="s">
        <v>0</v>
      </c>
      <c r="D54" s="9" t="s">
        <v>0</v>
      </c>
      <c r="E54" s="6" t="s">
        <v>0</v>
      </c>
    </row>
    <row r="55" customHeight="1" spans="1:5">
      <c r="A55" s="4" t="s">
        <v>76</v>
      </c>
      <c r="B55" s="4" t="s">
        <v>0</v>
      </c>
      <c r="C55" s="4" t="s">
        <v>0</v>
      </c>
      <c r="D55" s="4">
        <f>SUM(D36:D54)</f>
        <v>0</v>
      </c>
      <c r="E55" s="4" t="s">
        <v>260</v>
      </c>
    </row>
    <row r="56" customHeight="1" spans="1:5">
      <c r="A56" s="25"/>
      <c r="B56" s="25"/>
      <c r="C56" s="25"/>
      <c r="D56" s="25"/>
      <c r="E56" s="25"/>
    </row>
    <row r="57" ht="31.8" customHeight="1" spans="1:5">
      <c r="A57" s="26" t="s">
        <v>270</v>
      </c>
      <c r="B57" s="26" t="s">
        <v>0</v>
      </c>
      <c r="C57" s="26" t="s">
        <v>0</v>
      </c>
      <c r="D57" s="26" t="s">
        <v>0</v>
      </c>
      <c r="E57" s="26" t="s">
        <v>0</v>
      </c>
    </row>
    <row r="58" ht="194.4" customHeight="1"/>
    <row r="59" customHeight="1" spans="1:5">
      <c r="A59" s="22" t="s">
        <v>265</v>
      </c>
      <c r="B59" s="22" t="s">
        <v>0</v>
      </c>
      <c r="C59" s="22" t="s">
        <v>0</v>
      </c>
      <c r="D59" s="22" t="s">
        <v>0</v>
      </c>
      <c r="E59" s="22" t="s">
        <v>0</v>
      </c>
    </row>
    <row r="60" customHeight="1" spans="1:5">
      <c r="A60" s="23"/>
      <c r="B60" s="23"/>
      <c r="C60" s="23"/>
      <c r="D60" s="23"/>
      <c r="E60" s="15" t="s">
        <v>284</v>
      </c>
    </row>
    <row r="61" customHeight="1" spans="1:5">
      <c r="A61" s="16" t="s">
        <v>22</v>
      </c>
      <c r="B61" s="17" t="s">
        <v>388</v>
      </c>
      <c r="C61" s="17"/>
      <c r="D61" s="17"/>
      <c r="E61" s="16" t="s">
        <v>81</v>
      </c>
    </row>
    <row r="62" customHeight="1" spans="1:5">
      <c r="A62" s="16" t="s">
        <v>82</v>
      </c>
      <c r="B62" s="17" t="s">
        <v>421</v>
      </c>
      <c r="C62" s="17"/>
      <c r="D62" s="17"/>
      <c r="E62" s="34" t="str">
        <f>"工程数量："&amp;'[1]附表C-6营造林工程投资概算'!$D$21</f>
        <v>工程数量：8.33</v>
      </c>
    </row>
    <row r="63" customHeight="1" spans="1:5">
      <c r="A63" s="16" t="s">
        <v>84</v>
      </c>
      <c r="B63" s="18" t="s">
        <v>422</v>
      </c>
      <c r="C63" s="18"/>
      <c r="D63" s="18"/>
      <c r="E63" s="24"/>
    </row>
    <row r="64" customHeight="1" spans="1:5">
      <c r="A64" s="4" t="s">
        <v>28</v>
      </c>
      <c r="B64" s="4" t="s">
        <v>56</v>
      </c>
      <c r="C64" s="4" t="s">
        <v>267</v>
      </c>
      <c r="D64" s="4" t="s">
        <v>268</v>
      </c>
      <c r="E64" s="4" t="s">
        <v>35</v>
      </c>
    </row>
    <row r="65" customHeight="1" spans="1:5">
      <c r="A65" s="4" t="s">
        <v>68</v>
      </c>
      <c r="B65" s="6" t="s">
        <v>256</v>
      </c>
      <c r="C65" s="4" t="s">
        <v>269</v>
      </c>
      <c r="D65" s="9"/>
      <c r="E65" s="6" t="s">
        <v>8</v>
      </c>
    </row>
    <row r="66" customHeight="1" spans="1:5">
      <c r="A66" s="4" t="s">
        <v>0</v>
      </c>
      <c r="B66" s="6" t="s">
        <v>0</v>
      </c>
      <c r="C66" s="4" t="s">
        <v>0</v>
      </c>
      <c r="D66" s="9" t="s">
        <v>0</v>
      </c>
      <c r="E66" s="6" t="s">
        <v>0</v>
      </c>
    </row>
    <row r="67" customHeight="1" spans="1:5">
      <c r="A67" s="4" t="s">
        <v>0</v>
      </c>
      <c r="B67" s="6" t="s">
        <v>0</v>
      </c>
      <c r="C67" s="4" t="s">
        <v>0</v>
      </c>
      <c r="D67" s="9" t="s">
        <v>0</v>
      </c>
      <c r="E67" s="6" t="s">
        <v>0</v>
      </c>
    </row>
    <row r="68" customHeight="1" spans="1:5">
      <c r="A68" s="4" t="s">
        <v>0</v>
      </c>
      <c r="B68" s="6" t="s">
        <v>0</v>
      </c>
      <c r="C68" s="4" t="s">
        <v>0</v>
      </c>
      <c r="D68" s="9" t="s">
        <v>0</v>
      </c>
      <c r="E68" s="6" t="s">
        <v>0</v>
      </c>
    </row>
    <row r="69" customHeight="1" spans="1:5">
      <c r="A69" s="4" t="s">
        <v>0</v>
      </c>
      <c r="B69" s="6" t="s">
        <v>0</v>
      </c>
      <c r="C69" s="4" t="s">
        <v>0</v>
      </c>
      <c r="D69" s="9" t="s">
        <v>0</v>
      </c>
      <c r="E69" s="6" t="s">
        <v>0</v>
      </c>
    </row>
    <row r="70" customHeight="1" spans="1:5">
      <c r="A70" s="4" t="s">
        <v>0</v>
      </c>
      <c r="B70" s="6" t="s">
        <v>0</v>
      </c>
      <c r="C70" s="4" t="s">
        <v>0</v>
      </c>
      <c r="D70" s="9" t="s">
        <v>0</v>
      </c>
      <c r="E70" s="6" t="s">
        <v>0</v>
      </c>
    </row>
    <row r="71" customHeight="1" spans="1:5">
      <c r="A71" s="4" t="s">
        <v>0</v>
      </c>
      <c r="B71" s="6" t="s">
        <v>0</v>
      </c>
      <c r="C71" s="4" t="s">
        <v>0</v>
      </c>
      <c r="D71" s="9" t="s">
        <v>0</v>
      </c>
      <c r="E71" s="6" t="s">
        <v>0</v>
      </c>
    </row>
    <row r="72" customHeight="1" spans="1:5">
      <c r="A72" s="4" t="s">
        <v>0</v>
      </c>
      <c r="B72" s="6" t="s">
        <v>0</v>
      </c>
      <c r="C72" s="4" t="s">
        <v>0</v>
      </c>
      <c r="D72" s="9" t="s">
        <v>0</v>
      </c>
      <c r="E72" s="6" t="s">
        <v>0</v>
      </c>
    </row>
    <row r="73" customHeight="1" spans="1:5">
      <c r="A73" s="4" t="s">
        <v>0</v>
      </c>
      <c r="B73" s="6" t="s">
        <v>0</v>
      </c>
      <c r="C73" s="4" t="s">
        <v>0</v>
      </c>
      <c r="D73" s="9" t="s">
        <v>0</v>
      </c>
      <c r="E73" s="6" t="s">
        <v>0</v>
      </c>
    </row>
    <row r="74" customHeight="1" spans="1:5">
      <c r="A74" s="4" t="s">
        <v>0</v>
      </c>
      <c r="B74" s="6" t="s">
        <v>0</v>
      </c>
      <c r="C74" s="4" t="s">
        <v>0</v>
      </c>
      <c r="D74" s="9" t="s">
        <v>0</v>
      </c>
      <c r="E74" s="6" t="s">
        <v>0</v>
      </c>
    </row>
    <row r="75" customHeight="1" spans="1:5">
      <c r="A75" s="4" t="s">
        <v>0</v>
      </c>
      <c r="B75" s="6" t="s">
        <v>0</v>
      </c>
      <c r="C75" s="4" t="s">
        <v>0</v>
      </c>
      <c r="D75" s="9" t="s">
        <v>0</v>
      </c>
      <c r="E75" s="6" t="s">
        <v>0</v>
      </c>
    </row>
    <row r="76" customHeight="1" spans="1:5">
      <c r="A76" s="4" t="s">
        <v>0</v>
      </c>
      <c r="B76" s="6" t="s">
        <v>0</v>
      </c>
      <c r="C76" s="4" t="s">
        <v>0</v>
      </c>
      <c r="D76" s="9" t="s">
        <v>0</v>
      </c>
      <c r="E76" s="6" t="s">
        <v>0</v>
      </c>
    </row>
    <row r="77" customHeight="1" spans="1:5">
      <c r="A77" s="4" t="s">
        <v>0</v>
      </c>
      <c r="B77" s="6" t="s">
        <v>0</v>
      </c>
      <c r="C77" s="4" t="s">
        <v>0</v>
      </c>
      <c r="D77" s="9" t="s">
        <v>0</v>
      </c>
      <c r="E77" s="6" t="s">
        <v>0</v>
      </c>
    </row>
    <row r="78" customHeight="1" spans="1:5">
      <c r="A78" s="4" t="s">
        <v>0</v>
      </c>
      <c r="B78" s="6" t="s">
        <v>0</v>
      </c>
      <c r="C78" s="4" t="s">
        <v>0</v>
      </c>
      <c r="D78" s="9" t="s">
        <v>0</v>
      </c>
      <c r="E78" s="6" t="s">
        <v>0</v>
      </c>
    </row>
    <row r="79" customHeight="1" spans="1:5">
      <c r="A79" s="4" t="s">
        <v>0</v>
      </c>
      <c r="B79" s="6" t="s">
        <v>0</v>
      </c>
      <c r="C79" s="4" t="s">
        <v>0</v>
      </c>
      <c r="D79" s="9" t="s">
        <v>0</v>
      </c>
      <c r="E79" s="6" t="s">
        <v>0</v>
      </c>
    </row>
    <row r="80" customHeight="1" spans="1:5">
      <c r="A80" s="4" t="s">
        <v>0</v>
      </c>
      <c r="B80" s="6" t="s">
        <v>0</v>
      </c>
      <c r="C80" s="4" t="s">
        <v>0</v>
      </c>
      <c r="D80" s="9" t="s">
        <v>0</v>
      </c>
      <c r="E80" s="6" t="s">
        <v>0</v>
      </c>
    </row>
    <row r="81" customHeight="1" spans="1:5">
      <c r="A81" s="4" t="s">
        <v>0</v>
      </c>
      <c r="B81" s="6" t="s">
        <v>0</v>
      </c>
      <c r="C81" s="4" t="s">
        <v>0</v>
      </c>
      <c r="D81" s="9" t="s">
        <v>0</v>
      </c>
      <c r="E81" s="6" t="s">
        <v>0</v>
      </c>
    </row>
    <row r="82" customHeight="1" spans="1:5">
      <c r="A82" s="4" t="s">
        <v>0</v>
      </c>
      <c r="B82" s="6" t="s">
        <v>0</v>
      </c>
      <c r="C82" s="4" t="s">
        <v>0</v>
      </c>
      <c r="D82" s="9" t="s">
        <v>0</v>
      </c>
      <c r="E82" s="6" t="s">
        <v>0</v>
      </c>
    </row>
    <row r="83" customHeight="1" spans="1:5">
      <c r="A83" s="4" t="s">
        <v>0</v>
      </c>
      <c r="B83" s="6" t="s">
        <v>0</v>
      </c>
      <c r="C83" s="4" t="s">
        <v>0</v>
      </c>
      <c r="D83" s="9" t="s">
        <v>0</v>
      </c>
      <c r="E83" s="6" t="s">
        <v>0</v>
      </c>
    </row>
    <row r="84" customHeight="1" spans="1:5">
      <c r="A84" s="4" t="s">
        <v>76</v>
      </c>
      <c r="B84" s="4" t="s">
        <v>0</v>
      </c>
      <c r="C84" s="4" t="s">
        <v>0</v>
      </c>
      <c r="D84" s="4">
        <f>SUM(D65:D83)</f>
        <v>0</v>
      </c>
      <c r="E84" s="4" t="s">
        <v>260</v>
      </c>
    </row>
    <row r="85" customHeight="1" spans="1:5">
      <c r="A85" s="25"/>
      <c r="B85" s="25"/>
      <c r="C85" s="25"/>
      <c r="D85" s="25"/>
      <c r="E85" s="25"/>
    </row>
    <row r="86" ht="33" customHeight="1" spans="1:5">
      <c r="A86" s="26" t="s">
        <v>270</v>
      </c>
      <c r="B86" s="26" t="s">
        <v>0</v>
      </c>
      <c r="C86" s="26" t="s">
        <v>0</v>
      </c>
      <c r="D86" s="26" t="s">
        <v>0</v>
      </c>
      <c r="E86" s="26" t="s">
        <v>0</v>
      </c>
    </row>
  </sheetData>
  <mergeCells count="21">
    <mergeCell ref="A1:E1"/>
    <mergeCell ref="C2:D2"/>
    <mergeCell ref="B3:D3"/>
    <mergeCell ref="B4:D4"/>
    <mergeCell ref="B5:D5"/>
    <mergeCell ref="A26:C26"/>
    <mergeCell ref="A28:E28"/>
    <mergeCell ref="A30:E30"/>
    <mergeCell ref="C31:D31"/>
    <mergeCell ref="B32:D32"/>
    <mergeCell ref="B33:D33"/>
    <mergeCell ref="B34:D34"/>
    <mergeCell ref="A55:C55"/>
    <mergeCell ref="A57:E57"/>
    <mergeCell ref="A59:E59"/>
    <mergeCell ref="C60:D60"/>
    <mergeCell ref="B61:D61"/>
    <mergeCell ref="B62:D62"/>
    <mergeCell ref="B63:D63"/>
    <mergeCell ref="A84:C84"/>
    <mergeCell ref="A86:E8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35"/>
  <sheetViews>
    <sheetView showZeros="0" topLeftCell="A24" workbookViewId="0">
      <selection activeCell="F31" sqref="F7 F19 F31"/>
    </sheetView>
  </sheetViews>
  <sheetFormatPr defaultColWidth="8.88888888888889" defaultRowHeight="40.05" customHeight="1" outlineLevelCol="6"/>
  <cols>
    <col min="1" max="2" width="8.88888888888889" style="1"/>
    <col min="3" max="3" width="64" style="1" customWidth="1"/>
    <col min="4" max="4" width="14.4444444444444" style="1" customWidth="1"/>
    <col min="5" max="5" width="12.787037037037" style="1" customWidth="1"/>
    <col min="6" max="6" width="17.3333333333333" style="1" customWidth="1"/>
    <col min="7" max="7" width="11.5" style="1"/>
    <col min="8" max="16384" width="8.88888888888889" style="1"/>
  </cols>
  <sheetData>
    <row r="1" customHeight="1" spans="1:6">
      <c r="A1" s="22" t="s">
        <v>274</v>
      </c>
      <c r="B1" s="22"/>
      <c r="C1" s="22"/>
      <c r="D1" s="22"/>
      <c r="E1" s="22"/>
      <c r="F1" s="15" t="s">
        <v>266</v>
      </c>
    </row>
    <row r="2" customHeight="1" spans="1:6">
      <c r="A2" s="16" t="s">
        <v>22</v>
      </c>
      <c r="B2" s="17" t="s">
        <v>388</v>
      </c>
      <c r="C2" s="17"/>
      <c r="D2" s="17"/>
      <c r="E2" s="17" t="s">
        <v>81</v>
      </c>
      <c r="F2" s="17" t="s">
        <v>0</v>
      </c>
    </row>
    <row r="3" customHeight="1" spans="1:6">
      <c r="A3" s="16" t="s">
        <v>82</v>
      </c>
      <c r="B3" s="17" t="s">
        <v>360</v>
      </c>
      <c r="C3" s="17"/>
      <c r="D3" s="17"/>
      <c r="E3" s="75" t="str">
        <f>"工程数量："&amp;'[1]附表C-6营造林工程投资概算'!$D$19</f>
        <v>工程数量：963.67</v>
      </c>
      <c r="F3" s="75" t="s">
        <v>0</v>
      </c>
    </row>
    <row r="4" customHeight="1" spans="1:6">
      <c r="A4" s="16" t="s">
        <v>84</v>
      </c>
      <c r="B4" s="18" t="s">
        <v>423</v>
      </c>
      <c r="C4" s="18"/>
      <c r="D4" s="18"/>
      <c r="E4" s="16" t="s">
        <v>0</v>
      </c>
      <c r="F4" s="16" t="s">
        <v>0</v>
      </c>
    </row>
    <row r="5" customHeight="1" spans="1:6">
      <c r="A5" s="4" t="s">
        <v>28</v>
      </c>
      <c r="B5" s="4" t="s">
        <v>56</v>
      </c>
      <c r="C5" s="4" t="s">
        <v>194</v>
      </c>
      <c r="D5" s="4" t="s">
        <v>195</v>
      </c>
      <c r="E5" s="4" t="s">
        <v>275</v>
      </c>
      <c r="F5" s="4" t="s">
        <v>276</v>
      </c>
    </row>
    <row r="6" customHeight="1" spans="1:6">
      <c r="A6" s="4" t="s">
        <v>68</v>
      </c>
      <c r="B6" s="6" t="s">
        <v>277</v>
      </c>
      <c r="C6" s="4" t="s">
        <v>278</v>
      </c>
      <c r="D6" s="19">
        <f>'D3-3 分部分项工程量清单综合单价计算表(分页不带材料)~2'!F18*0.3</f>
        <v>265455.661929</v>
      </c>
      <c r="E6" s="4">
        <v>4.8</v>
      </c>
      <c r="F6" s="4">
        <f>ROUND(D6*E6/100,2)</f>
        <v>12741.87</v>
      </c>
    </row>
    <row r="7" customHeight="1" spans="1:7">
      <c r="A7" s="4" t="s">
        <v>71</v>
      </c>
      <c r="B7" s="6" t="s">
        <v>279</v>
      </c>
      <c r="C7" s="4" t="s">
        <v>280</v>
      </c>
      <c r="D7" s="21">
        <f>'D3-3 分部分项工程量清单综合单价计算表(分页不带材料)~2'!K18+'E.1分部分项工程总价措施项目清单计价表-FY型'!I18+'F1.1暂列金额明细表（FY型）'!D26+'G.1规费、税金项目清单计价表-FY型'!F6</f>
        <v>980239.29643</v>
      </c>
      <c r="E7" s="4">
        <v>3</v>
      </c>
      <c r="F7" s="4">
        <f>ROUND(D7*E7/100,2)</f>
        <v>29407.18</v>
      </c>
      <c r="G7" s="1">
        <f>1184971.04+F6</f>
        <v>1197712.91</v>
      </c>
    </row>
    <row r="8" customHeight="1" spans="1:6">
      <c r="A8" s="4">
        <v>3</v>
      </c>
      <c r="B8" s="6" t="s">
        <v>281</v>
      </c>
      <c r="C8" s="4" t="s">
        <v>280</v>
      </c>
      <c r="D8" s="21">
        <f>D7</f>
        <v>980239.29643</v>
      </c>
      <c r="E8" s="4"/>
      <c r="F8" s="4">
        <f>ROUND(D8*E8/100,2)</f>
        <v>0</v>
      </c>
    </row>
    <row r="9" customHeight="1" spans="1:6">
      <c r="A9" s="4" t="s">
        <v>0</v>
      </c>
      <c r="B9" s="6" t="s">
        <v>0</v>
      </c>
      <c r="C9" s="4" t="s">
        <v>0</v>
      </c>
      <c r="D9" s="9" t="s">
        <v>0</v>
      </c>
      <c r="E9" s="4" t="s">
        <v>0</v>
      </c>
      <c r="F9" s="4"/>
    </row>
    <row r="10" customHeight="1" spans="1:6">
      <c r="A10" s="4" t="s">
        <v>0</v>
      </c>
      <c r="B10" s="6" t="s">
        <v>0</v>
      </c>
      <c r="C10" s="4" t="s">
        <v>0</v>
      </c>
      <c r="D10" s="9" t="s">
        <v>0</v>
      </c>
      <c r="E10" s="4" t="s">
        <v>0</v>
      </c>
      <c r="F10" s="4"/>
    </row>
    <row r="11" customHeight="1" spans="1:6">
      <c r="A11" s="4" t="s">
        <v>106</v>
      </c>
      <c r="B11" s="4" t="s">
        <v>0</v>
      </c>
      <c r="C11" s="4" t="s">
        <v>0</v>
      </c>
      <c r="D11" s="4" t="s">
        <v>0</v>
      </c>
      <c r="E11" s="4" t="s">
        <v>0</v>
      </c>
      <c r="F11" s="9">
        <f>SUM(F6:F10)</f>
        <v>42149.05</v>
      </c>
    </row>
    <row r="13" customHeight="1" spans="1:6">
      <c r="A13" s="22" t="s">
        <v>274</v>
      </c>
      <c r="B13" s="22"/>
      <c r="C13" s="22"/>
      <c r="D13" s="22"/>
      <c r="E13" s="22"/>
      <c r="F13" s="15" t="s">
        <v>271</v>
      </c>
    </row>
    <row r="14" customHeight="1" spans="1:6">
      <c r="A14" s="16" t="s">
        <v>22</v>
      </c>
      <c r="B14" s="17" t="s">
        <v>388</v>
      </c>
      <c r="C14" s="17"/>
      <c r="D14" s="17"/>
      <c r="E14" s="17" t="s">
        <v>81</v>
      </c>
      <c r="F14" s="17" t="s">
        <v>0</v>
      </c>
    </row>
    <row r="15" customHeight="1" spans="1:6">
      <c r="A15" s="16" t="s">
        <v>82</v>
      </c>
      <c r="B15" s="17" t="s">
        <v>374</v>
      </c>
      <c r="C15" s="17"/>
      <c r="D15" s="17"/>
      <c r="E15" s="75" t="str">
        <f>"工程数量："&amp;'[1]附表C-6营造林工程投资概算'!$D$20</f>
        <v>工程数量：193.55</v>
      </c>
      <c r="F15" s="75" t="s">
        <v>0</v>
      </c>
    </row>
    <row r="16" customHeight="1" spans="1:6">
      <c r="A16" s="16" t="s">
        <v>84</v>
      </c>
      <c r="B16" s="18" t="s">
        <v>424</v>
      </c>
      <c r="C16" s="18"/>
      <c r="D16" s="18"/>
      <c r="E16" s="16" t="s">
        <v>0</v>
      </c>
      <c r="F16" s="16" t="s">
        <v>0</v>
      </c>
    </row>
    <row r="17" customHeight="1" spans="1:6">
      <c r="A17" s="4" t="s">
        <v>28</v>
      </c>
      <c r="B17" s="4" t="s">
        <v>56</v>
      </c>
      <c r="C17" s="4" t="s">
        <v>194</v>
      </c>
      <c r="D17" s="4" t="s">
        <v>195</v>
      </c>
      <c r="E17" s="4" t="s">
        <v>275</v>
      </c>
      <c r="F17" s="4" t="s">
        <v>276</v>
      </c>
    </row>
    <row r="18" customHeight="1" spans="1:6">
      <c r="A18" s="4" t="s">
        <v>68</v>
      </c>
      <c r="B18" s="6" t="s">
        <v>277</v>
      </c>
      <c r="C18" s="4" t="s">
        <v>278</v>
      </c>
      <c r="D18" s="19">
        <f>'D3-3 分部分项工程量清单综合单价计算表(分页不带材料)~2'!F38*0.3</f>
        <v>53315.907705</v>
      </c>
      <c r="E18" s="4">
        <v>4.8</v>
      </c>
      <c r="F18" s="4">
        <f>ROUND(D18*E18/100,2)</f>
        <v>2559.16</v>
      </c>
    </row>
    <row r="19" customHeight="1" spans="1:6">
      <c r="A19" s="4" t="s">
        <v>71</v>
      </c>
      <c r="B19" s="6" t="s">
        <v>279</v>
      </c>
      <c r="C19" s="4" t="s">
        <v>280</v>
      </c>
      <c r="D19" s="20">
        <f>'D3-3 分部分项工程量清单综合单价计算表(分页不带材料)~2'!K38+'E.1分部分项工程总价措施项目清单计价表-FY型'!I38+'F1.1暂列金额明细表（FY型）'!D55+'G.1规费、税金项目清单计价表-FY型'!F18</f>
        <v>196877.86235</v>
      </c>
      <c r="E19" s="4">
        <v>3</v>
      </c>
      <c r="F19" s="4">
        <f>ROUND(D19*E19/100,2)</f>
        <v>5906.34</v>
      </c>
    </row>
    <row r="20" customHeight="1" spans="1:6">
      <c r="A20" s="4">
        <v>3</v>
      </c>
      <c r="B20" s="6" t="s">
        <v>281</v>
      </c>
      <c r="C20" s="4" t="s">
        <v>280</v>
      </c>
      <c r="D20" s="21">
        <f>D19</f>
        <v>196877.86235</v>
      </c>
      <c r="E20" s="4"/>
      <c r="F20" s="4">
        <f>ROUND(D20*E20/100,2)</f>
        <v>0</v>
      </c>
    </row>
    <row r="21" customHeight="1" spans="1:6">
      <c r="A21" s="4" t="s">
        <v>0</v>
      </c>
      <c r="B21" s="6" t="s">
        <v>0</v>
      </c>
      <c r="C21" s="4" t="s">
        <v>0</v>
      </c>
      <c r="D21" s="9" t="s">
        <v>0</v>
      </c>
      <c r="E21" s="4" t="s">
        <v>0</v>
      </c>
      <c r="F21" s="4"/>
    </row>
    <row r="22" customHeight="1" spans="1:6">
      <c r="A22" s="4" t="s">
        <v>0</v>
      </c>
      <c r="B22" s="6" t="s">
        <v>0</v>
      </c>
      <c r="C22" s="4" t="s">
        <v>0</v>
      </c>
      <c r="D22" s="9" t="s">
        <v>0</v>
      </c>
      <c r="E22" s="4" t="s">
        <v>0</v>
      </c>
      <c r="F22" s="4"/>
    </row>
    <row r="23" customHeight="1" spans="1:6">
      <c r="A23" s="4" t="s">
        <v>106</v>
      </c>
      <c r="B23" s="4" t="s">
        <v>0</v>
      </c>
      <c r="C23" s="4" t="s">
        <v>0</v>
      </c>
      <c r="D23" s="4" t="s">
        <v>0</v>
      </c>
      <c r="E23" s="4" t="s">
        <v>0</v>
      </c>
      <c r="F23" s="9">
        <f>SUM(F18:F22)</f>
        <v>8465.5</v>
      </c>
    </row>
    <row r="25" customHeight="1" spans="1:6">
      <c r="A25" s="22" t="s">
        <v>274</v>
      </c>
      <c r="B25" s="22"/>
      <c r="C25" s="22"/>
      <c r="D25" s="22"/>
      <c r="E25" s="22"/>
      <c r="F25" s="15" t="s">
        <v>271</v>
      </c>
    </row>
    <row r="26" customHeight="1" spans="1:6">
      <c r="A26" s="16" t="s">
        <v>22</v>
      </c>
      <c r="B26" s="17" t="s">
        <v>388</v>
      </c>
      <c r="C26" s="17"/>
      <c r="D26" s="17"/>
      <c r="E26" s="17" t="s">
        <v>81</v>
      </c>
      <c r="F26" s="17" t="s">
        <v>0</v>
      </c>
    </row>
    <row r="27" customHeight="1" spans="1:6">
      <c r="A27" s="16" t="s">
        <v>82</v>
      </c>
      <c r="B27" s="17" t="s">
        <v>387</v>
      </c>
      <c r="C27" s="17"/>
      <c r="D27" s="17"/>
      <c r="E27" s="34" t="str">
        <f>"工程数量："&amp;'[1]附表C-6营造林工程投资概算'!$D$21</f>
        <v>工程数量：8.33</v>
      </c>
      <c r="F27" s="34" t="s">
        <v>0</v>
      </c>
    </row>
    <row r="28" customHeight="1" spans="1:6">
      <c r="A28" s="16" t="s">
        <v>84</v>
      </c>
      <c r="B28" s="18" t="s">
        <v>425</v>
      </c>
      <c r="C28" s="18"/>
      <c r="D28" s="18"/>
      <c r="E28" s="16" t="s">
        <v>0</v>
      </c>
      <c r="F28" s="16" t="s">
        <v>0</v>
      </c>
    </row>
    <row r="29" customHeight="1" spans="1:6">
      <c r="A29" s="4" t="s">
        <v>28</v>
      </c>
      <c r="B29" s="4" t="s">
        <v>56</v>
      </c>
      <c r="C29" s="4" t="s">
        <v>194</v>
      </c>
      <c r="D29" s="4" t="s">
        <v>195</v>
      </c>
      <c r="E29" s="4" t="s">
        <v>275</v>
      </c>
      <c r="F29" s="4" t="s">
        <v>276</v>
      </c>
    </row>
    <row r="30" customHeight="1" spans="1:6">
      <c r="A30" s="4" t="s">
        <v>68</v>
      </c>
      <c r="B30" s="6" t="s">
        <v>277</v>
      </c>
      <c r="C30" s="4" t="s">
        <v>278</v>
      </c>
      <c r="D30" s="19">
        <f>'D3-3 分部分项工程量清单综合单价计算表(分页不带材料)~2'!F58*0.3</f>
        <v>2294.607351</v>
      </c>
      <c r="E30" s="4">
        <v>4.8</v>
      </c>
      <c r="F30" s="4">
        <f>ROUND(D30*E30/100,2)</f>
        <v>110.14</v>
      </c>
    </row>
    <row r="31" customHeight="1" spans="1:6">
      <c r="A31" s="4" t="s">
        <v>71</v>
      </c>
      <c r="B31" s="6" t="s">
        <v>279</v>
      </c>
      <c r="C31" s="4" t="s">
        <v>280</v>
      </c>
      <c r="D31" s="21">
        <f>'D3-3 分部分项工程量清单综合单价计算表(分页不带材料)~2'!K58+'E.1分部分项工程总价措施项目清单计价表-FY型'!I58+'F1.1暂列金额明细表（FY型）'!D84+'G.1规费、税金项目清单计价表-FY型'!F30</f>
        <v>8473.20117</v>
      </c>
      <c r="E31" s="4">
        <v>3</v>
      </c>
      <c r="F31" s="4">
        <f>ROUND(D31*E31/100,2)</f>
        <v>254.2</v>
      </c>
    </row>
    <row r="32" customHeight="1" spans="1:6">
      <c r="A32" s="4">
        <v>3</v>
      </c>
      <c r="B32" s="6" t="s">
        <v>281</v>
      </c>
      <c r="C32" s="4" t="s">
        <v>280</v>
      </c>
      <c r="D32" s="21">
        <f>D31</f>
        <v>8473.20117</v>
      </c>
      <c r="E32" s="4"/>
      <c r="F32" s="4">
        <f>ROUND(D32*E32/100,2)</f>
        <v>0</v>
      </c>
    </row>
    <row r="33" customHeight="1" spans="1:6">
      <c r="A33" s="4" t="s">
        <v>0</v>
      </c>
      <c r="B33" s="6" t="s">
        <v>0</v>
      </c>
      <c r="C33" s="4" t="s">
        <v>0</v>
      </c>
      <c r="D33" s="9" t="s">
        <v>0</v>
      </c>
      <c r="E33" s="4" t="s">
        <v>0</v>
      </c>
      <c r="F33" s="4"/>
    </row>
    <row r="34" customHeight="1" spans="1:6">
      <c r="A34" s="4" t="s">
        <v>0</v>
      </c>
      <c r="B34" s="6" t="s">
        <v>0</v>
      </c>
      <c r="C34" s="4" t="s">
        <v>0</v>
      </c>
      <c r="D34" s="9" t="s">
        <v>0</v>
      </c>
      <c r="E34" s="4" t="s">
        <v>0</v>
      </c>
      <c r="F34" s="4"/>
    </row>
    <row r="35" customHeight="1" spans="1:6">
      <c r="A35" s="4" t="s">
        <v>106</v>
      </c>
      <c r="B35" s="4" t="s">
        <v>0</v>
      </c>
      <c r="C35" s="4" t="s">
        <v>0</v>
      </c>
      <c r="D35" s="4" t="s">
        <v>0</v>
      </c>
      <c r="E35" s="4" t="s">
        <v>0</v>
      </c>
      <c r="F35" s="9">
        <f>SUM(F30:F34)</f>
        <v>364.34</v>
      </c>
    </row>
  </sheetData>
  <mergeCells count="21">
    <mergeCell ref="A1:E1"/>
    <mergeCell ref="B2:D2"/>
    <mergeCell ref="E2:F2"/>
    <mergeCell ref="B3:D3"/>
    <mergeCell ref="E3:F3"/>
    <mergeCell ref="B4:D4"/>
    <mergeCell ref="A11:E11"/>
    <mergeCell ref="A13:E13"/>
    <mergeCell ref="B14:D14"/>
    <mergeCell ref="E14:F14"/>
    <mergeCell ref="B15:D15"/>
    <mergeCell ref="E15:F15"/>
    <mergeCell ref="B16:D16"/>
    <mergeCell ref="A23:E23"/>
    <mergeCell ref="A25:E25"/>
    <mergeCell ref="B26:D26"/>
    <mergeCell ref="E26:F26"/>
    <mergeCell ref="B27:D27"/>
    <mergeCell ref="E27:F27"/>
    <mergeCell ref="B28:D28"/>
    <mergeCell ref="A35:E3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Zeros="0" topLeftCell="A20" workbookViewId="0">
      <selection activeCell="H4" sqref="H4:H13"/>
    </sheetView>
  </sheetViews>
  <sheetFormatPr defaultColWidth="8.88888888888889" defaultRowHeight="14.4" outlineLevelCol="5"/>
  <cols>
    <col min="1" max="1" width="8.21296296296296" style="1" customWidth="1"/>
    <col min="2" max="2" width="12.3333333333333" style="1" customWidth="1"/>
    <col min="3" max="3" width="18.1111111111111" style="1" customWidth="1"/>
    <col min="4" max="5" width="16.6666666666667" style="1" customWidth="1"/>
    <col min="6" max="6" width="18.3333333333333" style="1" customWidth="1"/>
    <col min="7" max="16384" width="8.88888888888889" style="1"/>
  </cols>
  <sheetData>
    <row r="1" ht="29.4" customHeight="1" spans="1:6">
      <c r="A1" s="2" t="s">
        <v>287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</row>
    <row r="2" ht="29.4" customHeight="1" spans="1:6">
      <c r="A2" s="74" t="s">
        <v>351</v>
      </c>
      <c r="B2" s="74"/>
      <c r="C2" s="74"/>
      <c r="D2" s="74"/>
      <c r="E2" s="74"/>
      <c r="F2" s="74"/>
    </row>
    <row r="3" ht="31.8" customHeight="1" spans="1:6">
      <c r="A3" s="4" t="s">
        <v>28</v>
      </c>
      <c r="B3" s="4" t="s">
        <v>288</v>
      </c>
      <c r="C3" s="4" t="s">
        <v>289</v>
      </c>
      <c r="D3" s="4" t="s">
        <v>290</v>
      </c>
      <c r="E3" s="4" t="s">
        <v>57</v>
      </c>
      <c r="F3" s="4" t="s">
        <v>291</v>
      </c>
    </row>
    <row r="4" ht="19.95" customHeight="1" spans="1:6">
      <c r="A4" s="4" t="s">
        <v>68</v>
      </c>
      <c r="B4" s="4" t="s">
        <v>426</v>
      </c>
      <c r="C4" s="6" t="s">
        <v>364</v>
      </c>
      <c r="D4" s="4"/>
      <c r="E4" s="4" t="s">
        <v>137</v>
      </c>
      <c r="F4" s="9">
        <v>184.569</v>
      </c>
    </row>
    <row r="5" ht="19.95" customHeight="1" spans="1:6">
      <c r="A5" s="4" t="s">
        <v>71</v>
      </c>
      <c r="B5" s="4" t="s">
        <v>427</v>
      </c>
      <c r="C5" s="6" t="s">
        <v>365</v>
      </c>
      <c r="D5" s="4"/>
      <c r="E5" s="4" t="s">
        <v>137</v>
      </c>
      <c r="F5" s="9">
        <v>184.569</v>
      </c>
    </row>
    <row r="6" ht="19.95" customHeight="1" spans="1:6">
      <c r="A6" s="4" t="s">
        <v>73</v>
      </c>
      <c r="B6" s="4" t="s">
        <v>428</v>
      </c>
      <c r="C6" s="6" t="s">
        <v>366</v>
      </c>
      <c r="D6" s="6" t="s">
        <v>0</v>
      </c>
      <c r="E6" s="4" t="s">
        <v>137</v>
      </c>
      <c r="F6" s="9">
        <v>184.569</v>
      </c>
    </row>
    <row r="7" ht="19.95" customHeight="1" spans="1:6">
      <c r="A7" s="4" t="s">
        <v>94</v>
      </c>
      <c r="B7" s="4" t="s">
        <v>429</v>
      </c>
      <c r="C7" s="6" t="s">
        <v>384</v>
      </c>
      <c r="D7" s="6" t="s">
        <v>0</v>
      </c>
      <c r="E7" s="4" t="s">
        <v>137</v>
      </c>
      <c r="F7" s="9">
        <v>107.066</v>
      </c>
    </row>
    <row r="8" ht="19.95" customHeight="1" spans="1:6">
      <c r="A8" s="4" t="s">
        <v>96</v>
      </c>
      <c r="B8" s="4" t="s">
        <v>430</v>
      </c>
      <c r="C8" s="6" t="s">
        <v>385</v>
      </c>
      <c r="D8" s="6" t="s">
        <v>0</v>
      </c>
      <c r="E8" s="4" t="s">
        <v>137</v>
      </c>
      <c r="F8" s="9">
        <v>107.066</v>
      </c>
    </row>
    <row r="9" ht="19.95" customHeight="1" spans="1:6">
      <c r="A9" s="4" t="s">
        <v>98</v>
      </c>
      <c r="B9" s="4" t="s">
        <v>431</v>
      </c>
      <c r="C9" s="6" t="s">
        <v>367</v>
      </c>
      <c r="D9" s="6" t="s">
        <v>0</v>
      </c>
      <c r="E9" s="4" t="s">
        <v>137</v>
      </c>
      <c r="F9" s="9">
        <v>107.066</v>
      </c>
    </row>
    <row r="10" ht="19.95" customHeight="1" spans="1:6">
      <c r="A10" s="4" t="s">
        <v>100</v>
      </c>
      <c r="B10" s="4" t="s">
        <v>432</v>
      </c>
      <c r="C10" s="6" t="s">
        <v>386</v>
      </c>
      <c r="D10" s="6" t="s">
        <v>0</v>
      </c>
      <c r="E10" s="4" t="s">
        <v>137</v>
      </c>
      <c r="F10" s="9">
        <v>107.066</v>
      </c>
    </row>
    <row r="11" ht="19.95" customHeight="1" spans="1:6">
      <c r="A11" s="4" t="s">
        <v>102</v>
      </c>
      <c r="B11" s="4" t="s">
        <v>433</v>
      </c>
      <c r="C11" s="8" t="s">
        <v>372</v>
      </c>
      <c r="D11" s="6"/>
      <c r="E11" s="4" t="s">
        <v>137</v>
      </c>
      <c r="F11" s="9">
        <v>107.066</v>
      </c>
    </row>
    <row r="12" ht="19.95" customHeight="1" spans="1:6">
      <c r="A12" s="4" t="s">
        <v>104</v>
      </c>
      <c r="B12" s="4" t="s">
        <v>434</v>
      </c>
      <c r="C12" s="6" t="s">
        <v>179</v>
      </c>
      <c r="D12" s="6" t="s">
        <v>0</v>
      </c>
      <c r="E12" s="4" t="s">
        <v>435</v>
      </c>
      <c r="F12" s="9">
        <v>8.52533</v>
      </c>
    </row>
    <row r="13" ht="19.95" customHeight="1" spans="1:6">
      <c r="A13" s="4" t="s">
        <v>306</v>
      </c>
      <c r="B13" s="4" t="s">
        <v>320</v>
      </c>
      <c r="C13" s="6" t="s">
        <v>181</v>
      </c>
      <c r="D13" s="6" t="s">
        <v>0</v>
      </c>
      <c r="E13" s="4" t="s">
        <v>137</v>
      </c>
      <c r="F13" s="9">
        <v>107.066</v>
      </c>
    </row>
    <row r="14" ht="19.95" customHeight="1" spans="1:6">
      <c r="A14" s="4"/>
      <c r="B14" s="4"/>
      <c r="C14" s="6"/>
      <c r="D14" s="6"/>
      <c r="E14" s="4"/>
      <c r="F14" s="9"/>
    </row>
    <row r="15" ht="19.95" customHeight="1" spans="1:6">
      <c r="A15" s="4"/>
      <c r="B15" s="4"/>
      <c r="C15" s="6"/>
      <c r="D15" s="6"/>
      <c r="E15" s="4"/>
      <c r="F15" s="9"/>
    </row>
    <row r="16" ht="19.95" customHeight="1" spans="1:6">
      <c r="A16" s="4"/>
      <c r="B16" s="4"/>
      <c r="C16" s="6"/>
      <c r="D16" s="6"/>
      <c r="E16" s="4"/>
      <c r="F16" s="9"/>
    </row>
    <row r="17" ht="19.95" customHeight="1" spans="1:6">
      <c r="A17" s="4"/>
      <c r="B17" s="4"/>
      <c r="C17" s="6"/>
      <c r="D17" s="6"/>
      <c r="E17" s="4"/>
      <c r="F17" s="9"/>
    </row>
    <row r="18" ht="19.95" customHeight="1" spans="1:6">
      <c r="A18" s="4"/>
      <c r="B18" s="4"/>
      <c r="C18" s="6"/>
      <c r="D18" s="6"/>
      <c r="E18" s="4"/>
      <c r="F18" s="9"/>
    </row>
    <row r="19" ht="19.95" customHeight="1" spans="1:6">
      <c r="A19" s="4"/>
      <c r="B19" s="4"/>
      <c r="C19" s="6"/>
      <c r="D19" s="6"/>
      <c r="E19" s="4"/>
      <c r="F19" s="9"/>
    </row>
    <row r="20" ht="19.95" customHeight="1" spans="1:6">
      <c r="A20" s="4"/>
      <c r="B20" s="4"/>
      <c r="C20" s="6"/>
      <c r="D20" s="6"/>
      <c r="E20" s="4"/>
      <c r="F20" s="9"/>
    </row>
    <row r="21" ht="19.95" customHeight="1" spans="1:6">
      <c r="A21" s="4"/>
      <c r="B21" s="4"/>
      <c r="C21" s="6"/>
      <c r="D21" s="6"/>
      <c r="E21" s="4"/>
      <c r="F21" s="9"/>
    </row>
    <row r="22" ht="19.95" customHeight="1" spans="1:6">
      <c r="A22" s="4"/>
      <c r="B22" s="4"/>
      <c r="C22" s="6"/>
      <c r="D22" s="6"/>
      <c r="E22" s="4"/>
      <c r="F22" s="9"/>
    </row>
    <row r="23" ht="19.95" customHeight="1" spans="1:6">
      <c r="A23" s="4"/>
      <c r="B23" s="4"/>
      <c r="C23" s="6"/>
      <c r="D23" s="6"/>
      <c r="E23" s="4"/>
      <c r="F23" s="9"/>
    </row>
    <row r="24" ht="19.95" customHeight="1" spans="1:6">
      <c r="A24" s="4"/>
      <c r="B24" s="4"/>
      <c r="C24" s="6"/>
      <c r="D24" s="6"/>
      <c r="E24" s="4"/>
      <c r="F24" s="9"/>
    </row>
    <row r="25" ht="19.95" customHeight="1" spans="1:6">
      <c r="A25" s="4"/>
      <c r="B25" s="4"/>
      <c r="C25" s="6"/>
      <c r="D25" s="6"/>
      <c r="E25" s="4"/>
      <c r="F25" s="9"/>
    </row>
    <row r="26" ht="19.95" customHeight="1" spans="1:6">
      <c r="A26" s="4"/>
      <c r="B26" s="4"/>
      <c r="C26" s="6"/>
      <c r="D26" s="6"/>
      <c r="E26" s="4"/>
      <c r="F26" s="9"/>
    </row>
    <row r="27" ht="19.95" customHeight="1" spans="1:6">
      <c r="A27" s="4"/>
      <c r="B27" s="4"/>
      <c r="C27" s="6"/>
      <c r="D27" s="6"/>
      <c r="E27" s="4"/>
      <c r="F27" s="9"/>
    </row>
    <row r="28" ht="19.95" customHeight="1" spans="1:6">
      <c r="A28" s="4"/>
      <c r="B28" s="4"/>
      <c r="C28" s="6"/>
      <c r="D28" s="6"/>
      <c r="E28" s="4"/>
      <c r="F28" s="9"/>
    </row>
    <row r="29" ht="19.95" customHeight="1" spans="1:6">
      <c r="A29" s="4"/>
      <c r="B29" s="4"/>
      <c r="C29" s="6"/>
      <c r="D29" s="6"/>
      <c r="E29" s="4"/>
      <c r="F29" s="9"/>
    </row>
    <row r="30" ht="19.95" customHeight="1" spans="1:6">
      <c r="A30" s="4"/>
      <c r="B30" s="4"/>
      <c r="C30" s="6"/>
      <c r="D30" s="6"/>
      <c r="E30" s="4"/>
      <c r="F30" s="9"/>
    </row>
    <row r="31" ht="19.95" customHeight="1" spans="1:6">
      <c r="A31" s="4"/>
      <c r="B31" s="4"/>
      <c r="C31" s="6"/>
      <c r="D31" s="6"/>
      <c r="E31" s="4"/>
      <c r="F31" s="9"/>
    </row>
    <row r="32" ht="19.95" customHeight="1" spans="1:6">
      <c r="A32" s="4"/>
      <c r="B32" s="4"/>
      <c r="C32" s="6"/>
      <c r="D32" s="6"/>
      <c r="E32" s="4"/>
      <c r="F32" s="9"/>
    </row>
    <row r="33" ht="19.95" customHeight="1" spans="1:6">
      <c r="A33" s="4"/>
      <c r="B33" s="4"/>
      <c r="C33" s="6"/>
      <c r="D33" s="6"/>
      <c r="E33" s="4"/>
      <c r="F33" s="9"/>
    </row>
    <row r="34" ht="19.95" customHeight="1" spans="1:6">
      <c r="A34" s="4"/>
      <c r="B34" s="4"/>
      <c r="C34" s="6"/>
      <c r="D34" s="6"/>
      <c r="E34" s="4"/>
      <c r="F34" s="9"/>
    </row>
    <row r="35" ht="19.95" customHeight="1" spans="1:6">
      <c r="A35" s="4"/>
      <c r="B35" s="4"/>
      <c r="C35" s="6"/>
      <c r="D35" s="6"/>
      <c r="E35" s="4"/>
      <c r="F35" s="9"/>
    </row>
    <row r="36" ht="19.95" customHeight="1" spans="1:6">
      <c r="A36" s="4"/>
      <c r="B36" s="4"/>
      <c r="C36" s="6"/>
      <c r="D36" s="6"/>
      <c r="E36" s="4"/>
      <c r="F36" s="9"/>
    </row>
    <row r="37" ht="19.95" customHeight="1" spans="1:6">
      <c r="A37" s="4"/>
      <c r="B37" s="4"/>
      <c r="C37" s="6"/>
      <c r="D37" s="6"/>
      <c r="E37" s="4"/>
      <c r="F37" s="9"/>
    </row>
    <row r="38" ht="19.95" customHeight="1" spans="1:6">
      <c r="A38" s="4"/>
      <c r="B38" s="4"/>
      <c r="C38" s="6"/>
      <c r="D38" s="6"/>
      <c r="E38" s="4"/>
      <c r="F38" s="9"/>
    </row>
    <row r="39" spans="1:6">
      <c r="A39" s="25"/>
      <c r="B39" s="25"/>
      <c r="C39" s="25"/>
      <c r="D39" s="25"/>
      <c r="E39" s="25"/>
      <c r="F39" s="25"/>
    </row>
    <row r="40" spans="1:6">
      <c r="A40" s="13"/>
      <c r="B40" s="13"/>
      <c r="C40" s="13"/>
      <c r="D40" s="13"/>
      <c r="E40" s="13"/>
      <c r="F40" s="13"/>
    </row>
  </sheetData>
  <mergeCells count="3">
    <mergeCell ref="A1:F1"/>
    <mergeCell ref="A2:F2"/>
    <mergeCell ref="A40:F40"/>
  </mergeCells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Zeros="0" workbookViewId="0">
      <selection activeCell="F3" sqref="F3"/>
    </sheetView>
  </sheetViews>
  <sheetFormatPr defaultColWidth="8.88888888888889" defaultRowHeight="14.4" outlineLevelCol="1"/>
  <cols>
    <col min="1" max="1" width="11.4444444444444" style="1" customWidth="1"/>
    <col min="2" max="2" width="73" style="1" customWidth="1"/>
    <col min="3" max="16384" width="8.88888888888889" style="1"/>
  </cols>
  <sheetData>
    <row r="1" ht="24.6" customHeight="1" spans="1:2">
      <c r="A1" s="14" t="s">
        <v>21</v>
      </c>
      <c r="B1" s="14" t="s">
        <v>0</v>
      </c>
    </row>
    <row r="2" ht="28.8" customHeight="1" spans="1:2">
      <c r="A2" s="26" t="s">
        <v>22</v>
      </c>
      <c r="B2" s="26" t="s">
        <v>1</v>
      </c>
    </row>
    <row r="3" ht="363.6" customHeight="1" spans="1:2">
      <c r="A3" s="166" t="s">
        <v>23</v>
      </c>
      <c r="B3" s="166" t="s">
        <v>0</v>
      </c>
    </row>
    <row r="4" ht="53.4" customHeight="1" spans="1:2">
      <c r="A4" s="167" t="s">
        <v>24</v>
      </c>
      <c r="B4" s="167" t="s">
        <v>0</v>
      </c>
    </row>
    <row r="5" ht="31.2" customHeight="1" spans="1:2">
      <c r="A5" s="168" t="s">
        <v>25</v>
      </c>
      <c r="B5" s="168" t="s">
        <v>0</v>
      </c>
    </row>
    <row r="6" spans="1:2">
      <c r="A6" s="168" t="s">
        <v>0</v>
      </c>
      <c r="B6" s="168" t="s">
        <v>0</v>
      </c>
    </row>
    <row r="7" spans="1:2">
      <c r="A7" s="168" t="s">
        <v>0</v>
      </c>
      <c r="B7" s="168" t="s">
        <v>0</v>
      </c>
    </row>
    <row r="8" spans="1:2">
      <c r="A8" s="168" t="s">
        <v>0</v>
      </c>
      <c r="B8" s="168" t="s">
        <v>0</v>
      </c>
    </row>
    <row r="9" ht="198.6" customHeight="1" spans="1:2">
      <c r="A9" s="169" t="s">
        <v>0</v>
      </c>
      <c r="B9" s="169" t="s">
        <v>0</v>
      </c>
    </row>
    <row r="10" spans="1:2">
      <c r="A10" s="25"/>
      <c r="B10" s="25"/>
    </row>
    <row r="11" spans="1:2">
      <c r="A11" s="28"/>
      <c r="B11" s="28"/>
    </row>
  </sheetData>
  <mergeCells count="9">
    <mergeCell ref="A1:B1"/>
    <mergeCell ref="A3:B3"/>
    <mergeCell ref="A4:B4"/>
    <mergeCell ref="A5:B5"/>
    <mergeCell ref="A6:B6"/>
    <mergeCell ref="A7:B7"/>
    <mergeCell ref="A8:B8"/>
    <mergeCell ref="A9:B9"/>
    <mergeCell ref="A11:B1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showZeros="0" topLeftCell="A15" workbookViewId="0">
      <selection activeCell="M34" sqref="M34:Q34"/>
    </sheetView>
  </sheetViews>
  <sheetFormatPr defaultColWidth="8.88888888888889" defaultRowHeight="14.4"/>
  <cols>
    <col min="1" max="1" width="4.55555555555556" style="1" customWidth="1"/>
    <col min="2" max="2" width="9.88888888888889" style="1" customWidth="1"/>
    <col min="3" max="3" width="15.5555555555556" style="1" customWidth="1"/>
    <col min="4" max="4" width="5.33333333333333" style="1" customWidth="1"/>
    <col min="5" max="5" width="8.55555555555556" style="1" customWidth="1"/>
    <col min="6" max="8" width="9.78703703703704" style="1" customWidth="1"/>
    <col min="9" max="9" width="6.66666666666667" style="1" customWidth="1"/>
    <col min="10" max="10" width="8.11111111111111" style="1" customWidth="1"/>
    <col min="11" max="11" width="8.44444444444444" style="1" customWidth="1"/>
    <col min="12" max="13" width="13" style="1" customWidth="1"/>
    <col min="14" max="14" width="10.1111111111111" style="1" customWidth="1"/>
    <col min="15" max="15" width="7.88888888888889" style="1" customWidth="1"/>
    <col min="16" max="17" width="10.7777777777778" style="1"/>
    <col min="18" max="16384" width="8.88888888888889" style="1"/>
  </cols>
  <sheetData>
    <row r="1" ht="25.8" customHeight="1" spans="1:14">
      <c r="A1" s="14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22.95" customHeight="1" spans="1:14">
      <c r="A2" s="68" t="s">
        <v>436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ht="22.95" customHeight="1" spans="1:17">
      <c r="A3" s="4" t="s">
        <v>28</v>
      </c>
      <c r="B3" s="4" t="s">
        <v>55</v>
      </c>
      <c r="C3" s="4" t="s">
        <v>56</v>
      </c>
      <c r="D3" s="4" t="s">
        <v>57</v>
      </c>
      <c r="E3" s="4" t="s">
        <v>58</v>
      </c>
      <c r="F3" s="4" t="s">
        <v>59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2.95" customHeight="1" spans="1:17">
      <c r="A4" s="4"/>
      <c r="B4" s="4"/>
      <c r="C4" s="4"/>
      <c r="D4" s="4"/>
      <c r="E4" s="4"/>
      <c r="F4" s="4" t="s">
        <v>60</v>
      </c>
      <c r="G4" s="4"/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</row>
    <row r="5" ht="22.95" customHeight="1" spans="1:17">
      <c r="A5" s="4" t="s">
        <v>0</v>
      </c>
      <c r="B5" s="4"/>
      <c r="C5" s="4" t="s">
        <v>0</v>
      </c>
      <c r="D5" s="4" t="s">
        <v>0</v>
      </c>
      <c r="E5" s="4" t="s">
        <v>0</v>
      </c>
      <c r="F5" s="5" t="s">
        <v>62</v>
      </c>
      <c r="G5" s="5" t="s">
        <v>63</v>
      </c>
      <c r="H5" s="5" t="s">
        <v>64</v>
      </c>
      <c r="I5" s="5" t="s">
        <v>65</v>
      </c>
      <c r="J5" s="4" t="s">
        <v>66</v>
      </c>
      <c r="K5" s="4" t="s">
        <v>67</v>
      </c>
      <c r="L5" s="5" t="s">
        <v>62</v>
      </c>
      <c r="M5" s="5" t="s">
        <v>63</v>
      </c>
      <c r="N5" s="5" t="s">
        <v>64</v>
      </c>
      <c r="O5" s="5" t="s">
        <v>65</v>
      </c>
      <c r="P5" s="4" t="s">
        <v>66</v>
      </c>
      <c r="Q5" s="4" t="s">
        <v>67</v>
      </c>
    </row>
    <row r="6" ht="13.95" customHeight="1" spans="1:17">
      <c r="A6" s="4" t="s">
        <v>68</v>
      </c>
      <c r="B6" s="5" t="s">
        <v>437</v>
      </c>
      <c r="C6" s="6" t="s">
        <v>438</v>
      </c>
      <c r="D6" s="4" t="s">
        <v>70</v>
      </c>
      <c r="E6" s="9">
        <f>'[1]附表C-6营造林工程投资概算'!$D$12</f>
        <v>1326.2</v>
      </c>
      <c r="F6" s="7">
        <f>ROUND(L6/$E6,2)</f>
        <v>1090.65</v>
      </c>
      <c r="G6" s="7">
        <f>ROUND(M6/$E6,2)</f>
        <v>1019.3</v>
      </c>
      <c r="H6" s="7">
        <f t="shared" ref="H6:K6" si="0">ROUND(N6/$E6,2)</f>
        <v>0</v>
      </c>
      <c r="I6" s="7"/>
      <c r="J6" s="7">
        <f t="shared" si="0"/>
        <v>20.39</v>
      </c>
      <c r="K6" s="7">
        <f t="shared" si="0"/>
        <v>50.97</v>
      </c>
      <c r="L6" s="71">
        <f>M6+P6+Q6</f>
        <v>1446421.74814</v>
      </c>
      <c r="M6" s="72">
        <v>1351796.02814</v>
      </c>
      <c r="N6" s="72">
        <v>0</v>
      </c>
      <c r="O6" s="72" t="s">
        <v>0</v>
      </c>
      <c r="P6" s="72">
        <v>27035.92</v>
      </c>
      <c r="Q6" s="72">
        <v>67589.8</v>
      </c>
    </row>
    <row r="7" ht="13.95" customHeight="1" spans="1:17">
      <c r="A7" s="4" t="s">
        <v>71</v>
      </c>
      <c r="B7" s="5" t="s">
        <v>439</v>
      </c>
      <c r="C7" s="6" t="s">
        <v>440</v>
      </c>
      <c r="D7" s="4" t="s">
        <v>70</v>
      </c>
      <c r="E7" s="9">
        <f>'[1]附表C-6营造林工程投资概算'!$D$13</f>
        <v>2052.76</v>
      </c>
      <c r="F7" s="7">
        <f t="shared" ref="F7:F10" si="1">ROUND(L7/E7,2)</f>
        <v>979.03</v>
      </c>
      <c r="G7" s="7">
        <f t="shared" ref="G7:G10" si="2">ROUND(M7/$E7,2)</f>
        <v>914.98</v>
      </c>
      <c r="H7" s="7">
        <f t="shared" ref="H7:H10" si="3">ROUND(N7/$E7,2)</f>
        <v>0</v>
      </c>
      <c r="I7" s="7"/>
      <c r="J7" s="7">
        <f t="shared" ref="J7:J10" si="4">ROUND(P7/$E7,2)</f>
        <v>18.3</v>
      </c>
      <c r="K7" s="7">
        <f t="shared" ref="K7:K10" si="5">ROUND(Q7/$E7,2)</f>
        <v>45.75</v>
      </c>
      <c r="L7" s="71">
        <f>M7+P7+Q7</f>
        <v>2009716.98336</v>
      </c>
      <c r="M7" s="72">
        <v>1878240.17336</v>
      </c>
      <c r="N7" s="72">
        <v>0</v>
      </c>
      <c r="O7" s="72"/>
      <c r="P7" s="72">
        <v>37564.8</v>
      </c>
      <c r="Q7" s="72">
        <v>93912.01</v>
      </c>
    </row>
    <row r="8" ht="13.95" customHeight="1" spans="1:17">
      <c r="A8" s="4" t="s">
        <v>73</v>
      </c>
      <c r="B8" s="5" t="s">
        <v>441</v>
      </c>
      <c r="C8" s="6" t="s">
        <v>442</v>
      </c>
      <c r="D8" s="4" t="s">
        <v>70</v>
      </c>
      <c r="E8" s="9">
        <f>'[1]附表C-6营造林工程投资概算'!$D$14</f>
        <v>59.45</v>
      </c>
      <c r="F8" s="7">
        <f t="shared" si="1"/>
        <v>1090.65</v>
      </c>
      <c r="G8" s="7">
        <f t="shared" si="2"/>
        <v>1019.3</v>
      </c>
      <c r="H8" s="7">
        <f t="shared" si="3"/>
        <v>0</v>
      </c>
      <c r="I8" s="7"/>
      <c r="J8" s="7">
        <f t="shared" si="4"/>
        <v>20.39</v>
      </c>
      <c r="K8" s="7">
        <f t="shared" si="5"/>
        <v>50.97</v>
      </c>
      <c r="L8" s="71">
        <f>M8+P8+Q8</f>
        <v>64839.21845</v>
      </c>
      <c r="M8" s="72">
        <v>60597.39845</v>
      </c>
      <c r="N8" s="72">
        <v>0</v>
      </c>
      <c r="O8" s="72"/>
      <c r="P8" s="72">
        <v>1211.95</v>
      </c>
      <c r="Q8" s="72">
        <v>3029.87</v>
      </c>
    </row>
    <row r="9" ht="13.95" customHeight="1" spans="1:17">
      <c r="A9" s="4" t="s">
        <v>94</v>
      </c>
      <c r="B9" s="5" t="s">
        <v>443</v>
      </c>
      <c r="C9" s="6" t="s">
        <v>444</v>
      </c>
      <c r="D9" s="4" t="s">
        <v>70</v>
      </c>
      <c r="E9" s="9">
        <f>'[1]附表C-6营造林工程投资概算'!$D$15</f>
        <v>111.11</v>
      </c>
      <c r="F9" s="7">
        <f t="shared" si="1"/>
        <v>979.03</v>
      </c>
      <c r="G9" s="7">
        <f t="shared" si="2"/>
        <v>914.98</v>
      </c>
      <c r="H9" s="7">
        <f t="shared" si="3"/>
        <v>0</v>
      </c>
      <c r="I9" s="7"/>
      <c r="J9" s="7">
        <f t="shared" si="4"/>
        <v>18.3</v>
      </c>
      <c r="K9" s="7">
        <f t="shared" si="5"/>
        <v>45.75</v>
      </c>
      <c r="L9" s="71">
        <f>M9+P9+Q9</f>
        <v>108780.20527</v>
      </c>
      <c r="M9" s="72">
        <v>101663.74527</v>
      </c>
      <c r="N9" s="72">
        <v>0</v>
      </c>
      <c r="O9" s="72"/>
      <c r="P9" s="72">
        <v>2033.27</v>
      </c>
      <c r="Q9" s="72">
        <v>5083.19</v>
      </c>
    </row>
    <row r="10" ht="13.95" customHeight="1" spans="1:17">
      <c r="A10" s="4" t="s">
        <v>96</v>
      </c>
      <c r="B10" s="5" t="s">
        <v>445</v>
      </c>
      <c r="C10" s="6" t="s">
        <v>446</v>
      </c>
      <c r="D10" s="4" t="s">
        <v>70</v>
      </c>
      <c r="E10" s="9">
        <f>'[1]附表C-6营造林工程投资概算'!$D$16</f>
        <v>224.18</v>
      </c>
      <c r="F10" s="7">
        <f t="shared" si="1"/>
        <v>1090.65</v>
      </c>
      <c r="G10" s="7">
        <f t="shared" si="2"/>
        <v>1019.3</v>
      </c>
      <c r="H10" s="7">
        <f t="shared" si="3"/>
        <v>0</v>
      </c>
      <c r="I10" s="7"/>
      <c r="J10" s="7">
        <f t="shared" si="4"/>
        <v>20.39</v>
      </c>
      <c r="K10" s="7">
        <f t="shared" si="5"/>
        <v>50.97</v>
      </c>
      <c r="L10" s="71">
        <f>M10+P10+Q10</f>
        <v>244502.20709</v>
      </c>
      <c r="M10" s="72">
        <v>228506.73709</v>
      </c>
      <c r="N10" s="72">
        <v>0</v>
      </c>
      <c r="O10" s="72"/>
      <c r="P10" s="72">
        <v>4570.13</v>
      </c>
      <c r="Q10" s="72">
        <v>11425.34</v>
      </c>
    </row>
    <row r="11" ht="13.95" customHeight="1" spans="1:17">
      <c r="A11" s="4"/>
      <c r="B11" s="5"/>
      <c r="C11" s="6"/>
      <c r="D11" s="4"/>
      <c r="E11" s="9"/>
      <c r="F11" s="9"/>
      <c r="G11" s="9"/>
      <c r="H11" s="9"/>
      <c r="I11" s="9"/>
      <c r="J11" s="9"/>
      <c r="K11" s="9"/>
      <c r="L11" s="9"/>
      <c r="M11" s="73"/>
      <c r="N11" s="73"/>
      <c r="O11" s="73"/>
      <c r="P11" s="73"/>
      <c r="Q11" s="73"/>
    </row>
    <row r="12" ht="13.95" customHeight="1" spans="1:17">
      <c r="A12" s="4" t="s">
        <v>0</v>
      </c>
      <c r="B12" s="5" t="s">
        <v>0</v>
      </c>
      <c r="C12" s="6" t="s">
        <v>0</v>
      </c>
      <c r="D12" s="4" t="s">
        <v>0</v>
      </c>
      <c r="E12" s="9" t="s">
        <v>0</v>
      </c>
      <c r="F12" s="9" t="s">
        <v>0</v>
      </c>
      <c r="G12" s="9"/>
      <c r="H12" s="9"/>
      <c r="I12" s="9"/>
      <c r="J12" s="9"/>
      <c r="K12" s="9"/>
      <c r="L12" s="9" t="s">
        <v>0</v>
      </c>
      <c r="M12" s="73"/>
      <c r="N12" s="73"/>
      <c r="O12" s="73"/>
      <c r="P12" s="73"/>
      <c r="Q12" s="73"/>
    </row>
    <row r="13" ht="13.95" customHeight="1" spans="1:17">
      <c r="A13" s="4" t="s">
        <v>0</v>
      </c>
      <c r="B13" s="5" t="s">
        <v>0</v>
      </c>
      <c r="C13" s="6" t="s">
        <v>0</v>
      </c>
      <c r="D13" s="4" t="s">
        <v>0</v>
      </c>
      <c r="E13" s="9" t="s">
        <v>0</v>
      </c>
      <c r="F13" s="9" t="s">
        <v>0</v>
      </c>
      <c r="G13" s="9"/>
      <c r="H13" s="9"/>
      <c r="I13" s="9"/>
      <c r="J13" s="9"/>
      <c r="K13" s="9"/>
      <c r="L13" s="9" t="s">
        <v>0</v>
      </c>
      <c r="M13" s="73"/>
      <c r="N13" s="73"/>
      <c r="O13" s="73"/>
      <c r="P13" s="73"/>
      <c r="Q13" s="73"/>
    </row>
    <row r="14" ht="13.95" customHeight="1" spans="1:17">
      <c r="A14" s="4" t="s">
        <v>0</v>
      </c>
      <c r="B14" s="5" t="s">
        <v>0</v>
      </c>
      <c r="C14" s="6" t="s">
        <v>0</v>
      </c>
      <c r="D14" s="4" t="s">
        <v>0</v>
      </c>
      <c r="E14" s="9" t="s">
        <v>0</v>
      </c>
      <c r="F14" s="9" t="s">
        <v>0</v>
      </c>
      <c r="G14" s="9"/>
      <c r="H14" s="9"/>
      <c r="I14" s="9"/>
      <c r="J14" s="9"/>
      <c r="K14" s="9"/>
      <c r="L14" s="9" t="s">
        <v>0</v>
      </c>
      <c r="M14" s="73"/>
      <c r="N14" s="73"/>
      <c r="O14" s="73"/>
      <c r="P14" s="73"/>
      <c r="Q14" s="73"/>
    </row>
    <row r="15" ht="13.95" customHeight="1" spans="1:17">
      <c r="A15" s="4" t="s">
        <v>0</v>
      </c>
      <c r="B15" s="5" t="s">
        <v>0</v>
      </c>
      <c r="C15" s="6" t="s">
        <v>0</v>
      </c>
      <c r="D15" s="4" t="s">
        <v>0</v>
      </c>
      <c r="E15" s="9" t="s">
        <v>0</v>
      </c>
      <c r="F15" s="9" t="s">
        <v>0</v>
      </c>
      <c r="G15" s="9"/>
      <c r="H15" s="9"/>
      <c r="I15" s="9"/>
      <c r="J15" s="9"/>
      <c r="K15" s="9"/>
      <c r="L15" s="9" t="s">
        <v>0</v>
      </c>
      <c r="M15" s="73"/>
      <c r="N15" s="73"/>
      <c r="O15" s="73"/>
      <c r="P15" s="73"/>
      <c r="Q15" s="73"/>
    </row>
    <row r="16" ht="13.95" customHeight="1" spans="1:17">
      <c r="A16" s="4" t="s">
        <v>0</v>
      </c>
      <c r="B16" s="5" t="s">
        <v>0</v>
      </c>
      <c r="C16" s="6" t="s">
        <v>0</v>
      </c>
      <c r="D16" s="4" t="s">
        <v>0</v>
      </c>
      <c r="E16" s="9" t="s">
        <v>0</v>
      </c>
      <c r="F16" s="9" t="s">
        <v>0</v>
      </c>
      <c r="G16" s="9"/>
      <c r="H16" s="9"/>
      <c r="I16" s="9"/>
      <c r="J16" s="9"/>
      <c r="K16" s="9"/>
      <c r="L16" s="9" t="s">
        <v>0</v>
      </c>
      <c r="M16" s="73"/>
      <c r="N16" s="73"/>
      <c r="O16" s="73"/>
      <c r="P16" s="73"/>
      <c r="Q16" s="73"/>
    </row>
    <row r="17" ht="13.95" customHeight="1" spans="1:17">
      <c r="A17" s="4" t="s">
        <v>0</v>
      </c>
      <c r="B17" s="5" t="s">
        <v>0</v>
      </c>
      <c r="C17" s="6" t="s">
        <v>0</v>
      </c>
      <c r="D17" s="4" t="s">
        <v>0</v>
      </c>
      <c r="E17" s="9" t="s">
        <v>0</v>
      </c>
      <c r="F17" s="9" t="s">
        <v>0</v>
      </c>
      <c r="G17" s="9"/>
      <c r="H17" s="9"/>
      <c r="I17" s="9"/>
      <c r="J17" s="9"/>
      <c r="K17" s="9"/>
      <c r="L17" s="9" t="s">
        <v>0</v>
      </c>
      <c r="M17" s="73"/>
      <c r="N17" s="73"/>
      <c r="O17" s="73"/>
      <c r="P17" s="73"/>
      <c r="Q17" s="73"/>
    </row>
    <row r="18" ht="13.95" customHeight="1" spans="1:17">
      <c r="A18" s="4" t="s">
        <v>0</v>
      </c>
      <c r="B18" s="5" t="s">
        <v>0</v>
      </c>
      <c r="C18" s="6" t="s">
        <v>0</v>
      </c>
      <c r="D18" s="4" t="s">
        <v>0</v>
      </c>
      <c r="E18" s="9" t="s">
        <v>0</v>
      </c>
      <c r="F18" s="9" t="s">
        <v>0</v>
      </c>
      <c r="G18" s="9"/>
      <c r="H18" s="9"/>
      <c r="I18" s="9"/>
      <c r="J18" s="9"/>
      <c r="K18" s="9"/>
      <c r="L18" s="9" t="s">
        <v>0</v>
      </c>
      <c r="M18" s="73"/>
      <c r="N18" s="73"/>
      <c r="O18" s="73"/>
      <c r="P18" s="73"/>
      <c r="Q18" s="73"/>
    </row>
    <row r="19" ht="13.95" customHeight="1" spans="1:17">
      <c r="A19" s="4" t="s">
        <v>0</v>
      </c>
      <c r="B19" s="5" t="s">
        <v>0</v>
      </c>
      <c r="C19" s="6" t="s">
        <v>0</v>
      </c>
      <c r="D19" s="4" t="s">
        <v>0</v>
      </c>
      <c r="E19" s="9" t="s">
        <v>0</v>
      </c>
      <c r="F19" s="9" t="s">
        <v>0</v>
      </c>
      <c r="G19" s="9"/>
      <c r="H19" s="9"/>
      <c r="I19" s="9"/>
      <c r="J19" s="9"/>
      <c r="K19" s="9"/>
      <c r="L19" s="9" t="s">
        <v>0</v>
      </c>
      <c r="M19" s="73"/>
      <c r="N19" s="73"/>
      <c r="O19" s="73"/>
      <c r="P19" s="73"/>
      <c r="Q19" s="73"/>
    </row>
    <row r="20" ht="13.95" customHeight="1" spans="1:17">
      <c r="A20" s="4" t="s">
        <v>0</v>
      </c>
      <c r="B20" s="5" t="s">
        <v>0</v>
      </c>
      <c r="C20" s="6" t="s">
        <v>0</v>
      </c>
      <c r="D20" s="4" t="s">
        <v>0</v>
      </c>
      <c r="E20" s="9" t="s">
        <v>0</v>
      </c>
      <c r="F20" s="9" t="s">
        <v>0</v>
      </c>
      <c r="G20" s="9"/>
      <c r="H20" s="9"/>
      <c r="I20" s="9"/>
      <c r="J20" s="9"/>
      <c r="K20" s="9"/>
      <c r="L20" s="9" t="s">
        <v>0</v>
      </c>
      <c r="M20" s="73"/>
      <c r="N20" s="73"/>
      <c r="O20" s="73"/>
      <c r="P20" s="73"/>
      <c r="Q20" s="73"/>
    </row>
    <row r="21" ht="13.95" customHeight="1" spans="1:17">
      <c r="A21" s="4" t="s">
        <v>0</v>
      </c>
      <c r="B21" s="5" t="s">
        <v>0</v>
      </c>
      <c r="C21" s="6" t="s">
        <v>0</v>
      </c>
      <c r="D21" s="4" t="s">
        <v>0</v>
      </c>
      <c r="E21" s="9" t="s">
        <v>0</v>
      </c>
      <c r="F21" s="9" t="s">
        <v>0</v>
      </c>
      <c r="G21" s="9"/>
      <c r="H21" s="9"/>
      <c r="I21" s="9"/>
      <c r="J21" s="9"/>
      <c r="K21" s="9"/>
      <c r="L21" s="9" t="s">
        <v>0</v>
      </c>
      <c r="M21" s="73"/>
      <c r="N21" s="73"/>
      <c r="O21" s="73"/>
      <c r="P21" s="73"/>
      <c r="Q21" s="73"/>
    </row>
    <row r="22" ht="13.95" customHeight="1" spans="1:17">
      <c r="A22" s="4" t="s">
        <v>0</v>
      </c>
      <c r="B22" s="5" t="s">
        <v>0</v>
      </c>
      <c r="C22" s="6" t="s">
        <v>0</v>
      </c>
      <c r="D22" s="4" t="s">
        <v>0</v>
      </c>
      <c r="E22" s="9" t="s">
        <v>0</v>
      </c>
      <c r="F22" s="9" t="s">
        <v>0</v>
      </c>
      <c r="G22" s="9"/>
      <c r="H22" s="9"/>
      <c r="I22" s="9"/>
      <c r="J22" s="9"/>
      <c r="K22" s="9"/>
      <c r="L22" s="9" t="s">
        <v>0</v>
      </c>
      <c r="M22" s="73"/>
      <c r="N22" s="73"/>
      <c r="O22" s="73"/>
      <c r="P22" s="73"/>
      <c r="Q22" s="73"/>
    </row>
    <row r="23" ht="13.95" customHeight="1" spans="1:17">
      <c r="A23" s="4" t="s">
        <v>0</v>
      </c>
      <c r="B23" s="5" t="s">
        <v>0</v>
      </c>
      <c r="C23" s="6" t="s">
        <v>0</v>
      </c>
      <c r="D23" s="4" t="s">
        <v>0</v>
      </c>
      <c r="E23" s="9" t="s">
        <v>0</v>
      </c>
      <c r="F23" s="9" t="s">
        <v>0</v>
      </c>
      <c r="G23" s="9"/>
      <c r="H23" s="9"/>
      <c r="I23" s="9"/>
      <c r="J23" s="9"/>
      <c r="K23" s="9"/>
      <c r="L23" s="9" t="s">
        <v>0</v>
      </c>
      <c r="M23" s="73"/>
      <c r="N23" s="73"/>
      <c r="O23" s="73"/>
      <c r="P23" s="73"/>
      <c r="Q23" s="73"/>
    </row>
    <row r="24" ht="13.95" customHeight="1" spans="1:17">
      <c r="A24" s="4" t="s">
        <v>0</v>
      </c>
      <c r="B24" s="5" t="s">
        <v>0</v>
      </c>
      <c r="C24" s="6" t="s">
        <v>0</v>
      </c>
      <c r="D24" s="4" t="s">
        <v>0</v>
      </c>
      <c r="E24" s="9" t="s">
        <v>0</v>
      </c>
      <c r="F24" s="9" t="s">
        <v>0</v>
      </c>
      <c r="G24" s="9"/>
      <c r="H24" s="9"/>
      <c r="I24" s="9"/>
      <c r="J24" s="9"/>
      <c r="K24" s="9"/>
      <c r="L24" s="9" t="s">
        <v>0</v>
      </c>
      <c r="M24" s="73"/>
      <c r="N24" s="73"/>
      <c r="O24" s="73"/>
      <c r="P24" s="73"/>
      <c r="Q24" s="73"/>
    </row>
    <row r="25" ht="13.95" customHeight="1" spans="1:17">
      <c r="A25" s="4" t="s">
        <v>0</v>
      </c>
      <c r="B25" s="5" t="s">
        <v>0</v>
      </c>
      <c r="C25" s="6" t="s">
        <v>0</v>
      </c>
      <c r="D25" s="4" t="s">
        <v>0</v>
      </c>
      <c r="E25" s="9" t="s">
        <v>0</v>
      </c>
      <c r="F25" s="9" t="s">
        <v>0</v>
      </c>
      <c r="G25" s="9"/>
      <c r="H25" s="9"/>
      <c r="I25" s="9"/>
      <c r="J25" s="9"/>
      <c r="K25" s="9"/>
      <c r="L25" s="9" t="s">
        <v>0</v>
      </c>
      <c r="M25" s="73"/>
      <c r="N25" s="73"/>
      <c r="O25" s="73"/>
      <c r="P25" s="73"/>
      <c r="Q25" s="73"/>
    </row>
    <row r="26" ht="13.95" customHeight="1" spans="1:17">
      <c r="A26" s="4" t="s">
        <v>0</v>
      </c>
      <c r="B26" s="5" t="s">
        <v>0</v>
      </c>
      <c r="C26" s="6" t="s">
        <v>0</v>
      </c>
      <c r="D26" s="4" t="s">
        <v>0</v>
      </c>
      <c r="E26" s="9" t="s">
        <v>0</v>
      </c>
      <c r="F26" s="9" t="s">
        <v>0</v>
      </c>
      <c r="G26" s="9"/>
      <c r="H26" s="9"/>
      <c r="I26" s="9"/>
      <c r="J26" s="9"/>
      <c r="K26" s="9"/>
      <c r="L26" s="9" t="s">
        <v>0</v>
      </c>
      <c r="M26" s="73"/>
      <c r="N26" s="73"/>
      <c r="O26" s="73"/>
      <c r="P26" s="73"/>
      <c r="Q26" s="73"/>
    </row>
    <row r="27" ht="13.95" customHeight="1" spans="1:17">
      <c r="A27" s="4" t="s">
        <v>0</v>
      </c>
      <c r="B27" s="5" t="s">
        <v>0</v>
      </c>
      <c r="C27" s="6" t="s">
        <v>0</v>
      </c>
      <c r="D27" s="4" t="s">
        <v>0</v>
      </c>
      <c r="E27" s="9" t="s">
        <v>0</v>
      </c>
      <c r="F27" s="9" t="s">
        <v>0</v>
      </c>
      <c r="G27" s="9"/>
      <c r="H27" s="9"/>
      <c r="I27" s="9"/>
      <c r="J27" s="9"/>
      <c r="K27" s="9"/>
      <c r="L27" s="9" t="s">
        <v>0</v>
      </c>
      <c r="M27" s="73"/>
      <c r="N27" s="73"/>
      <c r="O27" s="73"/>
      <c r="P27" s="73"/>
      <c r="Q27" s="73"/>
    </row>
    <row r="28" ht="13.95" customHeight="1" spans="1:17">
      <c r="A28" s="4" t="s">
        <v>0</v>
      </c>
      <c r="B28" s="5" t="s">
        <v>0</v>
      </c>
      <c r="C28" s="6" t="s">
        <v>0</v>
      </c>
      <c r="D28" s="4" t="s">
        <v>0</v>
      </c>
      <c r="E28" s="9" t="s">
        <v>0</v>
      </c>
      <c r="F28" s="9" t="s">
        <v>0</v>
      </c>
      <c r="G28" s="9"/>
      <c r="H28" s="9"/>
      <c r="I28" s="9"/>
      <c r="J28" s="9"/>
      <c r="K28" s="9"/>
      <c r="L28" s="9" t="s">
        <v>0</v>
      </c>
      <c r="M28" s="73"/>
      <c r="N28" s="73"/>
      <c r="O28" s="73"/>
      <c r="P28" s="73"/>
      <c r="Q28" s="73"/>
    </row>
    <row r="29" ht="13.95" customHeight="1" spans="1:17">
      <c r="A29" s="4" t="s">
        <v>0</v>
      </c>
      <c r="B29" s="5" t="s">
        <v>0</v>
      </c>
      <c r="C29" s="6" t="s">
        <v>0</v>
      </c>
      <c r="D29" s="4" t="s">
        <v>0</v>
      </c>
      <c r="E29" s="9" t="s">
        <v>0</v>
      </c>
      <c r="F29" s="9" t="s">
        <v>0</v>
      </c>
      <c r="G29" s="9"/>
      <c r="H29" s="9"/>
      <c r="I29" s="9"/>
      <c r="J29" s="9"/>
      <c r="K29" s="9"/>
      <c r="L29" s="9" t="s">
        <v>0</v>
      </c>
      <c r="M29" s="73"/>
      <c r="N29" s="73"/>
      <c r="O29" s="73"/>
      <c r="P29" s="73"/>
      <c r="Q29" s="73"/>
    </row>
    <row r="30" ht="13.95" customHeight="1" spans="1:17">
      <c r="A30" s="4" t="s">
        <v>0</v>
      </c>
      <c r="B30" s="5" t="s">
        <v>0</v>
      </c>
      <c r="C30" s="6" t="s">
        <v>0</v>
      </c>
      <c r="D30" s="4" t="s">
        <v>0</v>
      </c>
      <c r="E30" s="9" t="s">
        <v>0</v>
      </c>
      <c r="F30" s="9" t="s">
        <v>0</v>
      </c>
      <c r="G30" s="9"/>
      <c r="H30" s="9"/>
      <c r="I30" s="9"/>
      <c r="J30" s="9"/>
      <c r="K30" s="9"/>
      <c r="L30" s="9" t="s">
        <v>0</v>
      </c>
      <c r="M30" s="73"/>
      <c r="N30" s="73"/>
      <c r="O30" s="73"/>
      <c r="P30" s="73"/>
      <c r="Q30" s="73"/>
    </row>
    <row r="31" ht="13.95" customHeight="1" spans="1:17">
      <c r="A31" s="4" t="s">
        <v>0</v>
      </c>
      <c r="B31" s="5" t="s">
        <v>0</v>
      </c>
      <c r="C31" s="6" t="s">
        <v>0</v>
      </c>
      <c r="D31" s="4" t="s">
        <v>0</v>
      </c>
      <c r="E31" s="9" t="s">
        <v>0</v>
      </c>
      <c r="F31" s="9" t="s">
        <v>0</v>
      </c>
      <c r="G31" s="9"/>
      <c r="H31" s="9"/>
      <c r="I31" s="9"/>
      <c r="J31" s="9"/>
      <c r="K31" s="9"/>
      <c r="L31" s="9" t="s">
        <v>0</v>
      </c>
      <c r="M31" s="73"/>
      <c r="N31" s="73"/>
      <c r="O31" s="73"/>
      <c r="P31" s="73"/>
      <c r="Q31" s="73"/>
    </row>
    <row r="32" ht="13.95" customHeight="1" spans="1:17">
      <c r="A32" s="4" t="s">
        <v>0</v>
      </c>
      <c r="B32" s="5" t="s">
        <v>0</v>
      </c>
      <c r="C32" s="6" t="s">
        <v>0</v>
      </c>
      <c r="D32" s="4" t="s">
        <v>0</v>
      </c>
      <c r="E32" s="9" t="s">
        <v>0</v>
      </c>
      <c r="F32" s="9" t="s">
        <v>0</v>
      </c>
      <c r="G32" s="9"/>
      <c r="H32" s="9"/>
      <c r="I32" s="9"/>
      <c r="J32" s="9"/>
      <c r="K32" s="9"/>
      <c r="L32" s="9" t="s">
        <v>0</v>
      </c>
      <c r="M32" s="73"/>
      <c r="N32" s="73"/>
      <c r="O32" s="73"/>
      <c r="P32" s="73"/>
      <c r="Q32" s="73"/>
    </row>
    <row r="33" ht="13.95" customHeight="1" spans="1:17">
      <c r="A33" s="69" t="s">
        <v>0</v>
      </c>
      <c r="B33" s="70" t="s">
        <v>0</v>
      </c>
      <c r="C33" s="4" t="s">
        <v>75</v>
      </c>
      <c r="D33" s="69" t="s">
        <v>0</v>
      </c>
      <c r="E33" s="69" t="s">
        <v>0</v>
      </c>
      <c r="F33" s="69" t="s">
        <v>0</v>
      </c>
      <c r="G33" s="4"/>
      <c r="H33" s="4"/>
      <c r="I33" s="4"/>
      <c r="J33" s="4"/>
      <c r="K33" s="4"/>
      <c r="L33" s="21">
        <f>SUM(L6:L32)</f>
        <v>3874260.36231</v>
      </c>
      <c r="M33" s="21">
        <f t="shared" ref="M33:O33" si="6">SUM(M6:M32)</f>
        <v>3620804.08231</v>
      </c>
      <c r="N33" s="9">
        <f t="shared" si="6"/>
        <v>0</v>
      </c>
      <c r="O33" s="9">
        <f t="shared" si="6"/>
        <v>0</v>
      </c>
      <c r="P33" s="9">
        <f t="shared" ref="P33:Q33" si="7">SUM(P6:P32)</f>
        <v>72416.07</v>
      </c>
      <c r="Q33" s="9">
        <f t="shared" si="7"/>
        <v>181040.21</v>
      </c>
    </row>
    <row r="34" ht="13.95" customHeight="1" spans="1:17">
      <c r="A34" s="69" t="s">
        <v>0</v>
      </c>
      <c r="B34" s="70" t="s">
        <v>0</v>
      </c>
      <c r="C34" s="4" t="s">
        <v>76</v>
      </c>
      <c r="D34" s="69" t="s">
        <v>0</v>
      </c>
      <c r="E34" s="69" t="s">
        <v>0</v>
      </c>
      <c r="F34" s="69" t="s">
        <v>0</v>
      </c>
      <c r="G34" s="4"/>
      <c r="H34" s="4"/>
      <c r="I34" s="4"/>
      <c r="J34" s="4"/>
      <c r="K34" s="4"/>
      <c r="L34" s="71">
        <f>L33</f>
        <v>3874260.36231</v>
      </c>
      <c r="M34" s="21">
        <f t="shared" ref="M34:O34" si="8">M33</f>
        <v>3620804.08231</v>
      </c>
      <c r="N34" s="9">
        <f t="shared" si="8"/>
        <v>0</v>
      </c>
      <c r="O34" s="9">
        <f t="shared" si="8"/>
        <v>0</v>
      </c>
      <c r="P34" s="9">
        <f t="shared" ref="P34:Q34" si="9">P33</f>
        <v>72416.07</v>
      </c>
      <c r="Q34" s="9">
        <f t="shared" si="9"/>
        <v>181040.21</v>
      </c>
    </row>
    <row r="35" ht="13.95" customHeight="1" spans="1:1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ht="13.95" customHeight="1" spans="1:17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</sheetData>
  <mergeCells count="11">
    <mergeCell ref="A1:N1"/>
    <mergeCell ref="A2:N2"/>
    <mergeCell ref="F3:Q3"/>
    <mergeCell ref="F4:K4"/>
    <mergeCell ref="L4:Q4"/>
    <mergeCell ref="A36:Q36"/>
    <mergeCell ref="A3:A5"/>
    <mergeCell ref="B3:B5"/>
    <mergeCell ref="C3:C5"/>
    <mergeCell ref="D3:D5"/>
    <mergeCell ref="E3:E5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showZeros="0" workbookViewId="0">
      <selection activeCell="F79" sqref="F79:K87"/>
    </sheetView>
  </sheetViews>
  <sheetFormatPr defaultColWidth="8.88888888888889" defaultRowHeight="14.4"/>
  <cols>
    <col min="1" max="1" width="8.88888888888889" style="1"/>
    <col min="2" max="2" width="12.6666666666667" style="1" customWidth="1"/>
    <col min="3" max="3" width="11.212962962963" style="1" customWidth="1"/>
    <col min="4" max="4" width="8.88888888888889" style="1"/>
    <col min="5" max="11" width="12.5555555555556" style="1" customWidth="1"/>
    <col min="12" max="16384" width="8.88888888888889" style="1"/>
  </cols>
  <sheetData>
    <row r="1" ht="24" customHeight="1" spans="1:11">
      <c r="A1" s="41" t="s">
        <v>0</v>
      </c>
      <c r="B1" s="41" t="s">
        <v>0</v>
      </c>
      <c r="C1" s="42" t="s">
        <v>77</v>
      </c>
      <c r="D1" s="42" t="s">
        <v>0</v>
      </c>
      <c r="E1" s="42" t="s">
        <v>0</v>
      </c>
      <c r="F1" s="42" t="s">
        <v>0</v>
      </c>
      <c r="G1" s="42" t="s">
        <v>0</v>
      </c>
      <c r="H1" s="42" t="s">
        <v>0</v>
      </c>
      <c r="I1" s="42" t="s">
        <v>0</v>
      </c>
      <c r="J1" s="49" t="s">
        <v>447</v>
      </c>
      <c r="K1" s="49" t="s">
        <v>0</v>
      </c>
    </row>
    <row r="2" ht="19.95" customHeight="1" spans="1:11">
      <c r="A2" s="41" t="s">
        <v>79</v>
      </c>
      <c r="B2" s="41" t="s">
        <v>0</v>
      </c>
      <c r="C2" s="41" t="s">
        <v>0</v>
      </c>
      <c r="D2" s="41" t="s">
        <v>0</v>
      </c>
      <c r="E2" s="41" t="s">
        <v>0</v>
      </c>
      <c r="F2" s="41" t="s">
        <v>0</v>
      </c>
      <c r="G2" s="41" t="s">
        <v>0</v>
      </c>
      <c r="H2" s="41" t="s">
        <v>0</v>
      </c>
      <c r="I2" s="41" t="s">
        <v>0</v>
      </c>
      <c r="J2" s="41" t="s">
        <v>0</v>
      </c>
      <c r="K2" s="41" t="s">
        <v>0</v>
      </c>
    </row>
    <row r="3" ht="19.95" customHeight="1" spans="1:11">
      <c r="A3" s="54" t="s">
        <v>22</v>
      </c>
      <c r="B3" s="54" t="s">
        <v>0</v>
      </c>
      <c r="C3" s="34" t="s">
        <v>448</v>
      </c>
      <c r="D3" s="34" t="s">
        <v>0</v>
      </c>
      <c r="E3" s="34" t="s">
        <v>0</v>
      </c>
      <c r="F3" s="34" t="s">
        <v>0</v>
      </c>
      <c r="G3" s="34" t="s">
        <v>0</v>
      </c>
      <c r="H3" s="34" t="s">
        <v>0</v>
      </c>
      <c r="I3" s="34" t="s">
        <v>0</v>
      </c>
      <c r="J3" s="34" t="s">
        <v>81</v>
      </c>
      <c r="K3" s="34" t="s">
        <v>0</v>
      </c>
    </row>
    <row r="4" ht="19.95" customHeight="1" spans="1:11">
      <c r="A4" s="54" t="s">
        <v>82</v>
      </c>
      <c r="B4" s="54" t="s">
        <v>0</v>
      </c>
      <c r="C4" s="34" t="s">
        <v>449</v>
      </c>
      <c r="D4" s="34" t="s">
        <v>0</v>
      </c>
      <c r="E4" s="34" t="s">
        <v>0</v>
      </c>
      <c r="F4" s="34" t="s">
        <v>0</v>
      </c>
      <c r="G4" s="34" t="s">
        <v>0</v>
      </c>
      <c r="H4" s="34" t="s">
        <v>0</v>
      </c>
      <c r="I4" s="34" t="s">
        <v>0</v>
      </c>
      <c r="J4" s="34" t="str">
        <f>"工程数量："&amp;'[1]附表C-6营造林工程投资概算'!$D$12</f>
        <v>工程数量：1326.2</v>
      </c>
      <c r="K4" s="34" t="s">
        <v>0</v>
      </c>
    </row>
    <row r="5" ht="19.95" customHeight="1" spans="1:11">
      <c r="A5" s="54" t="s">
        <v>84</v>
      </c>
      <c r="B5" s="54" t="s">
        <v>0</v>
      </c>
      <c r="C5" s="34" t="s">
        <v>450</v>
      </c>
      <c r="D5" s="34" t="s">
        <v>0</v>
      </c>
      <c r="E5" s="34" t="s">
        <v>0</v>
      </c>
      <c r="F5" s="34" t="s">
        <v>0</v>
      </c>
      <c r="G5" s="34" t="s">
        <v>0</v>
      </c>
      <c r="H5" s="34" t="s">
        <v>0</v>
      </c>
      <c r="I5" s="34" t="s">
        <v>0</v>
      </c>
      <c r="J5" s="34" t="str">
        <f>"综合单价："&amp;$M$15&amp;"元"</f>
        <v>综合单价：1090.65元</v>
      </c>
      <c r="K5" s="34" t="s">
        <v>0</v>
      </c>
    </row>
    <row r="6" ht="19.95" customHeight="1" spans="1:11">
      <c r="A6" s="44" t="s">
        <v>28</v>
      </c>
      <c r="B6" s="44" t="s">
        <v>86</v>
      </c>
      <c r="C6" s="44" t="s">
        <v>87</v>
      </c>
      <c r="D6" s="44" t="s">
        <v>57</v>
      </c>
      <c r="E6" s="44" t="s">
        <v>88</v>
      </c>
      <c r="F6" s="44" t="s">
        <v>89</v>
      </c>
      <c r="G6" s="44" t="s">
        <v>0</v>
      </c>
      <c r="H6" s="44" t="s">
        <v>0</v>
      </c>
      <c r="I6" s="44" t="s">
        <v>0</v>
      </c>
      <c r="J6" s="44" t="s">
        <v>0</v>
      </c>
      <c r="K6" s="44" t="s">
        <v>0</v>
      </c>
    </row>
    <row r="7" ht="19.95" customHeight="1" spans="1:11">
      <c r="A7" s="44" t="s">
        <v>0</v>
      </c>
      <c r="B7" s="44" t="s">
        <v>0</v>
      </c>
      <c r="C7" s="44" t="s">
        <v>0</v>
      </c>
      <c r="D7" s="44" t="s">
        <v>0</v>
      </c>
      <c r="E7" s="44" t="s">
        <v>0</v>
      </c>
      <c r="F7" s="45" t="s">
        <v>63</v>
      </c>
      <c r="G7" s="44" t="s">
        <v>64</v>
      </c>
      <c r="H7" s="44" t="s">
        <v>65</v>
      </c>
      <c r="I7" s="44" t="s">
        <v>66</v>
      </c>
      <c r="J7" s="44" t="s">
        <v>67</v>
      </c>
      <c r="K7" s="44" t="s">
        <v>90</v>
      </c>
    </row>
    <row r="8" ht="19.95" customHeight="1" spans="1:11">
      <c r="A8" s="55" t="s">
        <v>68</v>
      </c>
      <c r="B8" s="55" t="s">
        <v>451</v>
      </c>
      <c r="C8" s="56" t="s">
        <v>363</v>
      </c>
      <c r="D8" s="55" t="s">
        <v>70</v>
      </c>
      <c r="E8" s="57">
        <f>'[1]附表C-6营造林工程投资概算'!$D$12</f>
        <v>1326.2</v>
      </c>
      <c r="F8" s="58">
        <f>ROUND(E8*'[1]附表C-2营造林技术经济指标表'!$I$15,2)*0.94*0.85</f>
        <v>1351796.02814</v>
      </c>
      <c r="G8" s="57" t="s">
        <v>0</v>
      </c>
      <c r="H8" s="57" t="s">
        <v>0</v>
      </c>
      <c r="I8" s="65">
        <f>ROUND(F8*0.02,2)</f>
        <v>27035.92</v>
      </c>
      <c r="J8" s="65">
        <f>ROUND(F8*0.05,2)</f>
        <v>67589.8</v>
      </c>
      <c r="K8" s="57">
        <f>SUM(F8:J8)</f>
        <v>1446421.74814</v>
      </c>
    </row>
    <row r="9" ht="19.95" customHeight="1" spans="1:11">
      <c r="A9" s="55" t="s">
        <v>71</v>
      </c>
      <c r="B9" s="55" t="s">
        <v>452</v>
      </c>
      <c r="C9" s="56" t="s">
        <v>453</v>
      </c>
      <c r="D9" s="55" t="s">
        <v>70</v>
      </c>
      <c r="E9" s="57">
        <f>'[1]附表C-6营造林工程投资概算'!$D$12</f>
        <v>1326.2</v>
      </c>
      <c r="F9" s="59"/>
      <c r="G9" s="57"/>
      <c r="H9" s="57"/>
      <c r="I9" s="65"/>
      <c r="J9" s="65"/>
      <c r="K9" s="57"/>
    </row>
    <row r="10" ht="19.95" customHeight="1" spans="1:11">
      <c r="A10" s="55" t="s">
        <v>73</v>
      </c>
      <c r="B10" s="55" t="s">
        <v>454</v>
      </c>
      <c r="C10" s="56" t="s">
        <v>93</v>
      </c>
      <c r="D10" s="55" t="s">
        <v>70</v>
      </c>
      <c r="E10" s="57">
        <f>'[1]附表C-6营造林工程投资概算'!$D$12</f>
        <v>1326.2</v>
      </c>
      <c r="F10" s="59"/>
      <c r="G10" s="57"/>
      <c r="H10" s="57"/>
      <c r="I10" s="65"/>
      <c r="J10" s="65"/>
      <c r="K10" s="57"/>
    </row>
    <row r="11" ht="19.95" customHeight="1" spans="1:11">
      <c r="A11" s="55" t="s">
        <v>94</v>
      </c>
      <c r="B11" s="55" t="s">
        <v>455</v>
      </c>
      <c r="C11" s="56" t="s">
        <v>99</v>
      </c>
      <c r="D11" s="55" t="s">
        <v>70</v>
      </c>
      <c r="E11" s="57">
        <f>'[1]附表C-6营造林工程投资概算'!$D$12</f>
        <v>1326.2</v>
      </c>
      <c r="F11" s="59"/>
      <c r="G11" s="57"/>
      <c r="H11" s="57"/>
      <c r="I11" s="65"/>
      <c r="J11" s="65"/>
      <c r="K11" s="57"/>
    </row>
    <row r="12" ht="19.95" customHeight="1" spans="1:11">
      <c r="A12" s="55" t="s">
        <v>96</v>
      </c>
      <c r="B12" s="55" t="s">
        <v>456</v>
      </c>
      <c r="C12" s="56" t="s">
        <v>101</v>
      </c>
      <c r="D12" s="55" t="s">
        <v>70</v>
      </c>
      <c r="E12" s="57">
        <f>'[1]附表C-6营造林工程投资概算'!$D$12</f>
        <v>1326.2</v>
      </c>
      <c r="F12" s="59"/>
      <c r="G12" s="57"/>
      <c r="H12" s="57"/>
      <c r="I12" s="65"/>
      <c r="J12" s="65"/>
      <c r="K12" s="57"/>
    </row>
    <row r="13" ht="19.95" customHeight="1" spans="1:11">
      <c r="A13" s="55" t="s">
        <v>98</v>
      </c>
      <c r="B13" s="55" t="s">
        <v>457</v>
      </c>
      <c r="C13" s="56" t="s">
        <v>172</v>
      </c>
      <c r="D13" s="55" t="s">
        <v>70</v>
      </c>
      <c r="E13" s="57">
        <f>'[1]附表C-6营造林工程投资概算'!$D$12</f>
        <v>1326.2</v>
      </c>
      <c r="F13" s="59"/>
      <c r="G13" s="57"/>
      <c r="H13" s="57"/>
      <c r="I13" s="65"/>
      <c r="J13" s="65"/>
      <c r="K13" s="57"/>
    </row>
    <row r="14" ht="19.95" customHeight="1" spans="1:11">
      <c r="A14" s="55" t="s">
        <v>100</v>
      </c>
      <c r="B14" s="55" t="s">
        <v>458</v>
      </c>
      <c r="C14" s="56" t="s">
        <v>105</v>
      </c>
      <c r="D14" s="55" t="s">
        <v>70</v>
      </c>
      <c r="E14" s="57">
        <f>'[1]附表C-6营造林工程投资概算'!$D$12</f>
        <v>1326.2</v>
      </c>
      <c r="F14" s="59"/>
      <c r="G14" s="57"/>
      <c r="H14" s="57"/>
      <c r="I14" s="65"/>
      <c r="J14" s="65"/>
      <c r="K14" s="57"/>
    </row>
    <row r="15" ht="19.95" customHeight="1" spans="1:13">
      <c r="A15" s="55" t="s">
        <v>8</v>
      </c>
      <c r="B15" s="55" t="s">
        <v>8</v>
      </c>
      <c r="C15" s="55" t="s">
        <v>106</v>
      </c>
      <c r="D15" s="55" t="s">
        <v>8</v>
      </c>
      <c r="E15" s="57" t="s">
        <v>8</v>
      </c>
      <c r="F15" s="58">
        <f>SUM(F8:F14)</f>
        <v>1351796.02814</v>
      </c>
      <c r="G15" s="59">
        <f>SUM(G8:G14)</f>
        <v>0</v>
      </c>
      <c r="H15" s="44" t="s">
        <v>0</v>
      </c>
      <c r="I15" s="66">
        <f>SUM(I8:I14)</f>
        <v>27035.92</v>
      </c>
      <c r="J15" s="66">
        <f>SUM(J8:J14)</f>
        <v>67589.8</v>
      </c>
      <c r="K15" s="57">
        <f>SUM(F15:J15)</f>
        <v>1446421.74814</v>
      </c>
      <c r="M15" s="1">
        <f>ROUND(K15/E14,2)</f>
        <v>1090.65</v>
      </c>
    </row>
    <row r="16" ht="176.4" customHeight="1" spans="1:1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customHeight="1" spans="1:11">
      <c r="A17" s="17" t="s">
        <v>0</v>
      </c>
      <c r="B17" s="17" t="s">
        <v>0</v>
      </c>
      <c r="C17" s="17" t="s">
        <v>0</v>
      </c>
      <c r="D17" s="17" t="s">
        <v>0</v>
      </c>
      <c r="E17" s="17" t="s">
        <v>0</v>
      </c>
      <c r="F17" s="17" t="s">
        <v>0</v>
      </c>
      <c r="G17" s="28"/>
      <c r="H17" s="28"/>
      <c r="I17" s="28"/>
      <c r="J17" s="28"/>
      <c r="K17" s="28"/>
    </row>
    <row r="18" ht="25.8" customHeight="1" spans="1:11">
      <c r="A18" s="41" t="s">
        <v>0</v>
      </c>
      <c r="B18" s="41" t="s">
        <v>0</v>
      </c>
      <c r="C18" s="42" t="s">
        <v>77</v>
      </c>
      <c r="D18" s="42" t="s">
        <v>0</v>
      </c>
      <c r="E18" s="42" t="s">
        <v>0</v>
      </c>
      <c r="F18" s="42" t="s">
        <v>0</v>
      </c>
      <c r="G18" s="42" t="s">
        <v>0</v>
      </c>
      <c r="H18" s="42" t="s">
        <v>0</v>
      </c>
      <c r="I18" s="42" t="s">
        <v>0</v>
      </c>
      <c r="J18" s="49" t="s">
        <v>459</v>
      </c>
      <c r="K18" s="49" t="s">
        <v>0</v>
      </c>
    </row>
    <row r="19" ht="19.95" customHeight="1" spans="1:11">
      <c r="A19" s="41" t="s">
        <v>79</v>
      </c>
      <c r="B19" s="41" t="s">
        <v>0</v>
      </c>
      <c r="C19" s="41" t="s">
        <v>0</v>
      </c>
      <c r="D19" s="41" t="s">
        <v>0</v>
      </c>
      <c r="E19" s="41" t="s">
        <v>0</v>
      </c>
      <c r="F19" s="41" t="s">
        <v>0</v>
      </c>
      <c r="G19" s="41" t="s">
        <v>0</v>
      </c>
      <c r="H19" s="41" t="s">
        <v>0</v>
      </c>
      <c r="I19" s="41" t="s">
        <v>0</v>
      </c>
      <c r="J19" s="41" t="s">
        <v>0</v>
      </c>
      <c r="K19" s="41" t="s">
        <v>0</v>
      </c>
    </row>
    <row r="20" ht="19.95" customHeight="1" spans="1:11">
      <c r="A20" s="54" t="s">
        <v>22</v>
      </c>
      <c r="B20" s="54" t="s">
        <v>0</v>
      </c>
      <c r="C20" s="34" t="s">
        <v>448</v>
      </c>
      <c r="D20" s="34" t="s">
        <v>0</v>
      </c>
      <c r="E20" s="34" t="s">
        <v>0</v>
      </c>
      <c r="F20" s="34" t="s">
        <v>0</v>
      </c>
      <c r="G20" s="34" t="s">
        <v>0</v>
      </c>
      <c r="H20" s="34" t="s">
        <v>0</v>
      </c>
      <c r="I20" s="34" t="s">
        <v>0</v>
      </c>
      <c r="J20" s="34" t="s">
        <v>81</v>
      </c>
      <c r="K20" s="34" t="s">
        <v>0</v>
      </c>
    </row>
    <row r="21" ht="19.95" customHeight="1" spans="1:11">
      <c r="A21" s="54" t="s">
        <v>82</v>
      </c>
      <c r="B21" s="54" t="s">
        <v>0</v>
      </c>
      <c r="C21" s="34" t="s">
        <v>460</v>
      </c>
      <c r="D21" s="34" t="s">
        <v>0</v>
      </c>
      <c r="E21" s="34" t="s">
        <v>0</v>
      </c>
      <c r="F21" s="34" t="s">
        <v>0</v>
      </c>
      <c r="G21" s="34" t="s">
        <v>0</v>
      </c>
      <c r="H21" s="34" t="s">
        <v>0</v>
      </c>
      <c r="I21" s="34" t="s">
        <v>0</v>
      </c>
      <c r="J21" s="34" t="str">
        <f>"工程数量："&amp;'[1]附表C-6营造林工程投资概算'!$D$13</f>
        <v>工程数量：2052.76</v>
      </c>
      <c r="K21" s="34" t="s">
        <v>0</v>
      </c>
    </row>
    <row r="22" ht="19.95" customHeight="1" spans="1:11">
      <c r="A22" s="54" t="s">
        <v>84</v>
      </c>
      <c r="B22" s="54" t="s">
        <v>0</v>
      </c>
      <c r="C22" s="34" t="s">
        <v>461</v>
      </c>
      <c r="D22" s="34" t="s">
        <v>0</v>
      </c>
      <c r="E22" s="34" t="s">
        <v>0</v>
      </c>
      <c r="F22" s="34" t="s">
        <v>0</v>
      </c>
      <c r="G22" s="34" t="s">
        <v>0</v>
      </c>
      <c r="H22" s="34" t="s">
        <v>0</v>
      </c>
      <c r="I22" s="34" t="s">
        <v>0</v>
      </c>
      <c r="J22" s="34" t="str">
        <f>"综合单价："&amp;$M$32&amp;"元"</f>
        <v>综合单价：979.03元</v>
      </c>
      <c r="K22" s="34" t="s">
        <v>0</v>
      </c>
    </row>
    <row r="23" ht="19.95" customHeight="1" spans="1:11">
      <c r="A23" s="44" t="s">
        <v>28</v>
      </c>
      <c r="B23" s="44" t="s">
        <v>86</v>
      </c>
      <c r="C23" s="44" t="s">
        <v>87</v>
      </c>
      <c r="D23" s="44" t="s">
        <v>57</v>
      </c>
      <c r="E23" s="44" t="s">
        <v>88</v>
      </c>
      <c r="F23" s="44" t="s">
        <v>89</v>
      </c>
      <c r="G23" s="44" t="s">
        <v>0</v>
      </c>
      <c r="H23" s="44" t="s">
        <v>0</v>
      </c>
      <c r="I23" s="44" t="s">
        <v>0</v>
      </c>
      <c r="J23" s="44" t="s">
        <v>0</v>
      </c>
      <c r="K23" s="44" t="s">
        <v>0</v>
      </c>
    </row>
    <row r="24" ht="19.95" customHeight="1" spans="1:11">
      <c r="A24" s="60" t="s">
        <v>0</v>
      </c>
      <c r="B24" s="60" t="s">
        <v>0</v>
      </c>
      <c r="C24" s="60" t="s">
        <v>0</v>
      </c>
      <c r="D24" s="60" t="s">
        <v>0</v>
      </c>
      <c r="E24" s="60" t="s">
        <v>0</v>
      </c>
      <c r="F24" s="61" t="s">
        <v>63</v>
      </c>
      <c r="G24" s="62" t="s">
        <v>64</v>
      </c>
      <c r="H24" s="62" t="s">
        <v>65</v>
      </c>
      <c r="I24" s="62" t="s">
        <v>66</v>
      </c>
      <c r="J24" s="62" t="s">
        <v>67</v>
      </c>
      <c r="K24" s="62" t="s">
        <v>90</v>
      </c>
    </row>
    <row r="25" ht="19.95" customHeight="1" spans="1:11">
      <c r="A25" s="55" t="s">
        <v>68</v>
      </c>
      <c r="B25" s="55" t="s">
        <v>462</v>
      </c>
      <c r="C25" s="56" t="s">
        <v>363</v>
      </c>
      <c r="D25" s="55" t="s">
        <v>70</v>
      </c>
      <c r="E25" s="57">
        <f>'[1]附表C-6营造林工程投资概算'!$D$13</f>
        <v>2052.76</v>
      </c>
      <c r="F25" s="58">
        <f>ROUND(E25*'[1]附表C-2营造林技术经济指标表'!$J$15,2)*0.94*0.85</f>
        <v>1878240.17336</v>
      </c>
      <c r="G25" s="63" t="s">
        <v>0</v>
      </c>
      <c r="H25" s="63" t="s">
        <v>0</v>
      </c>
      <c r="I25" s="67">
        <f>ROUND(F25*0.02,2)</f>
        <v>37564.8</v>
      </c>
      <c r="J25" s="67">
        <f>ROUND(F25*0.05,2)</f>
        <v>93912.01</v>
      </c>
      <c r="K25" s="63">
        <f>SUM(F25:J25)</f>
        <v>2009716.98336</v>
      </c>
    </row>
    <row r="26" ht="19.95" customHeight="1" spans="1:11">
      <c r="A26" s="55" t="s">
        <v>71</v>
      </c>
      <c r="B26" s="55" t="s">
        <v>463</v>
      </c>
      <c r="C26" s="56" t="s">
        <v>453</v>
      </c>
      <c r="D26" s="55" t="s">
        <v>70</v>
      </c>
      <c r="E26" s="57">
        <f>'[1]附表C-6营造林工程投资概算'!$D$13</f>
        <v>2052.76</v>
      </c>
      <c r="F26" s="58"/>
      <c r="G26" s="63"/>
      <c r="H26" s="63"/>
      <c r="I26" s="67"/>
      <c r="J26" s="67"/>
      <c r="K26" s="63"/>
    </row>
    <row r="27" ht="19.95" customHeight="1" spans="1:11">
      <c r="A27" s="55" t="s">
        <v>73</v>
      </c>
      <c r="B27" s="55" t="s">
        <v>464</v>
      </c>
      <c r="C27" s="56" t="s">
        <v>93</v>
      </c>
      <c r="D27" s="55" t="s">
        <v>70</v>
      </c>
      <c r="E27" s="57">
        <f>'[1]附表C-6营造林工程投资概算'!$D$13</f>
        <v>2052.76</v>
      </c>
      <c r="F27" s="58"/>
      <c r="G27" s="63"/>
      <c r="H27" s="63"/>
      <c r="I27" s="67"/>
      <c r="J27" s="67"/>
      <c r="K27" s="63"/>
    </row>
    <row r="28" ht="19.95" customHeight="1" spans="1:11">
      <c r="A28" s="55" t="s">
        <v>94</v>
      </c>
      <c r="B28" s="55" t="s">
        <v>465</v>
      </c>
      <c r="C28" s="56" t="s">
        <v>99</v>
      </c>
      <c r="D28" s="55" t="s">
        <v>70</v>
      </c>
      <c r="E28" s="57">
        <f>'[1]附表C-6营造林工程投资概算'!$D$13</f>
        <v>2052.76</v>
      </c>
      <c r="F28" s="58"/>
      <c r="G28" s="63"/>
      <c r="H28" s="63"/>
      <c r="I28" s="67"/>
      <c r="J28" s="67"/>
      <c r="K28" s="63"/>
    </row>
    <row r="29" ht="19.95" customHeight="1" spans="1:11">
      <c r="A29" s="55" t="s">
        <v>96</v>
      </c>
      <c r="B29" s="55" t="s">
        <v>466</v>
      </c>
      <c r="C29" s="56" t="s">
        <v>101</v>
      </c>
      <c r="D29" s="55" t="s">
        <v>70</v>
      </c>
      <c r="E29" s="57">
        <f>'[1]附表C-6营造林工程投资概算'!$D$13</f>
        <v>2052.76</v>
      </c>
      <c r="F29" s="58"/>
      <c r="G29" s="63"/>
      <c r="H29" s="63"/>
      <c r="I29" s="67"/>
      <c r="J29" s="67"/>
      <c r="K29" s="63"/>
    </row>
    <row r="30" ht="19.95" customHeight="1" spans="1:11">
      <c r="A30" s="55" t="s">
        <v>98</v>
      </c>
      <c r="B30" s="55" t="s">
        <v>467</v>
      </c>
      <c r="C30" s="56" t="s">
        <v>172</v>
      </c>
      <c r="D30" s="55" t="s">
        <v>70</v>
      </c>
      <c r="E30" s="57">
        <f>'[1]附表C-6营造林工程投资概算'!$D$13</f>
        <v>2052.76</v>
      </c>
      <c r="F30" s="58"/>
      <c r="G30" s="63"/>
      <c r="H30" s="63"/>
      <c r="I30" s="67"/>
      <c r="J30" s="67"/>
      <c r="K30" s="63"/>
    </row>
    <row r="31" ht="19.95" customHeight="1" spans="1:11">
      <c r="A31" s="55" t="s">
        <v>100</v>
      </c>
      <c r="B31" s="55" t="s">
        <v>468</v>
      </c>
      <c r="C31" s="56" t="s">
        <v>105</v>
      </c>
      <c r="D31" s="55" t="s">
        <v>70</v>
      </c>
      <c r="E31" s="57">
        <f>'[1]附表C-6营造林工程投资概算'!$D$13</f>
        <v>2052.76</v>
      </c>
      <c r="F31" s="58"/>
      <c r="G31" s="63"/>
      <c r="H31" s="63"/>
      <c r="I31" s="67"/>
      <c r="J31" s="67"/>
      <c r="K31" s="63"/>
    </row>
    <row r="32" ht="19.95" customHeight="1" spans="1:13">
      <c r="A32" s="55" t="s">
        <v>8</v>
      </c>
      <c r="B32" s="55" t="s">
        <v>8</v>
      </c>
      <c r="C32" s="55" t="s">
        <v>106</v>
      </c>
      <c r="D32" s="55" t="s">
        <v>8</v>
      </c>
      <c r="E32" s="57" t="s">
        <v>8</v>
      </c>
      <c r="F32" s="58">
        <f>SUM(F25:F31)</f>
        <v>1878240.17336</v>
      </c>
      <c r="G32" s="58">
        <f>SUM(G25:G31)</f>
        <v>0</v>
      </c>
      <c r="H32" s="47" t="s">
        <v>0</v>
      </c>
      <c r="I32" s="63">
        <f>SUM(I25:I31)</f>
        <v>37564.8</v>
      </c>
      <c r="J32" s="63">
        <f>SUM(J25:J31)</f>
        <v>93912.01</v>
      </c>
      <c r="K32" s="63">
        <f>SUM(F32:J32)</f>
        <v>2009716.98336</v>
      </c>
      <c r="M32" s="1">
        <f>ROUND(K32/E31,2)</f>
        <v>979.03</v>
      </c>
    </row>
    <row r="33" ht="177.6" customHeight="1" spans="1:11">
      <c r="A33" s="25"/>
      <c r="B33" s="25"/>
      <c r="C33" s="25"/>
      <c r="D33" s="25"/>
      <c r="E33" s="25"/>
      <c r="F33" s="64"/>
      <c r="G33" s="64"/>
      <c r="H33" s="64"/>
      <c r="I33" s="64"/>
      <c r="J33" s="64"/>
      <c r="K33" s="64"/>
    </row>
    <row r="34" spans="1:11">
      <c r="A34" s="17" t="s">
        <v>0</v>
      </c>
      <c r="B34" s="17" t="s">
        <v>0</v>
      </c>
      <c r="C34" s="17" t="s">
        <v>0</v>
      </c>
      <c r="D34" s="17" t="s">
        <v>0</v>
      </c>
      <c r="E34" s="17" t="s">
        <v>0</v>
      </c>
      <c r="F34" s="17" t="s">
        <v>0</v>
      </c>
      <c r="G34" s="28"/>
      <c r="H34" s="28"/>
      <c r="I34" s="28"/>
      <c r="J34" s="28"/>
      <c r="K34" s="28"/>
    </row>
    <row r="36" ht="18" customHeight="1" spans="1:11">
      <c r="A36" s="41" t="s">
        <v>0</v>
      </c>
      <c r="B36" s="41" t="s">
        <v>0</v>
      </c>
      <c r="C36" s="42" t="s">
        <v>77</v>
      </c>
      <c r="D36" s="42" t="s">
        <v>0</v>
      </c>
      <c r="E36" s="42" t="s">
        <v>0</v>
      </c>
      <c r="F36" s="42" t="s">
        <v>0</v>
      </c>
      <c r="G36" s="42" t="s">
        <v>0</v>
      </c>
      <c r="H36" s="42" t="s">
        <v>0</v>
      </c>
      <c r="I36" s="42" t="s">
        <v>0</v>
      </c>
      <c r="J36" s="49" t="s">
        <v>469</v>
      </c>
      <c r="K36" s="49" t="s">
        <v>0</v>
      </c>
    </row>
    <row r="37" spans="1:11">
      <c r="A37" s="41" t="s">
        <v>79</v>
      </c>
      <c r="B37" s="41" t="s">
        <v>0</v>
      </c>
      <c r="C37" s="41" t="s">
        <v>0</v>
      </c>
      <c r="D37" s="41" t="s">
        <v>0</v>
      </c>
      <c r="E37" s="41" t="s">
        <v>0</v>
      </c>
      <c r="F37" s="41" t="s">
        <v>0</v>
      </c>
      <c r="G37" s="41" t="s">
        <v>0</v>
      </c>
      <c r="H37" s="41" t="s">
        <v>0</v>
      </c>
      <c r="I37" s="41" t="s">
        <v>0</v>
      </c>
      <c r="J37" s="41" t="s">
        <v>0</v>
      </c>
      <c r="K37" s="41" t="s">
        <v>0</v>
      </c>
    </row>
    <row r="38" ht="19.95" customHeight="1" spans="1:11">
      <c r="A38" s="54" t="s">
        <v>22</v>
      </c>
      <c r="B38" s="54" t="s">
        <v>0</v>
      </c>
      <c r="C38" s="34" t="s">
        <v>448</v>
      </c>
      <c r="D38" s="34" t="s">
        <v>0</v>
      </c>
      <c r="E38" s="34" t="s">
        <v>0</v>
      </c>
      <c r="F38" s="34" t="s">
        <v>0</v>
      </c>
      <c r="G38" s="34" t="s">
        <v>0</v>
      </c>
      <c r="H38" s="34" t="s">
        <v>0</v>
      </c>
      <c r="I38" s="34" t="s">
        <v>0</v>
      </c>
      <c r="J38" s="34" t="s">
        <v>81</v>
      </c>
      <c r="K38" s="34" t="s">
        <v>0</v>
      </c>
    </row>
    <row r="39" ht="19.95" customHeight="1" spans="1:11">
      <c r="A39" s="54" t="s">
        <v>82</v>
      </c>
      <c r="B39" s="54" t="s">
        <v>0</v>
      </c>
      <c r="C39" s="34" t="s">
        <v>470</v>
      </c>
      <c r="D39" s="34" t="s">
        <v>0</v>
      </c>
      <c r="E39" s="34" t="s">
        <v>0</v>
      </c>
      <c r="F39" s="34" t="s">
        <v>0</v>
      </c>
      <c r="G39" s="34" t="s">
        <v>0</v>
      </c>
      <c r="H39" s="34" t="s">
        <v>0</v>
      </c>
      <c r="I39" s="34" t="s">
        <v>0</v>
      </c>
      <c r="J39" s="34" t="str">
        <f>"工程数量："&amp;'[1]附表C-6营造林工程投资概算'!$D$14</f>
        <v>工程数量：59.45</v>
      </c>
      <c r="K39" s="34" t="s">
        <v>0</v>
      </c>
    </row>
    <row r="40" ht="19.95" customHeight="1" spans="1:11">
      <c r="A40" s="54" t="s">
        <v>84</v>
      </c>
      <c r="B40" s="54" t="s">
        <v>0</v>
      </c>
      <c r="C40" s="34" t="s">
        <v>471</v>
      </c>
      <c r="D40" s="34" t="s">
        <v>0</v>
      </c>
      <c r="E40" s="34" t="s">
        <v>0</v>
      </c>
      <c r="F40" s="34" t="s">
        <v>0</v>
      </c>
      <c r="G40" s="34" t="s">
        <v>0</v>
      </c>
      <c r="H40" s="34" t="s">
        <v>0</v>
      </c>
      <c r="I40" s="34" t="s">
        <v>0</v>
      </c>
      <c r="J40" s="34" t="str">
        <f>"综合单价："&amp;$M$51&amp;"元"</f>
        <v>综合单价：1090.65元</v>
      </c>
      <c r="K40" s="34" t="s">
        <v>0</v>
      </c>
    </row>
    <row r="41" ht="19.95" customHeight="1" spans="1:11">
      <c r="A41" s="44" t="s">
        <v>28</v>
      </c>
      <c r="B41" s="44" t="s">
        <v>86</v>
      </c>
      <c r="C41" s="44" t="s">
        <v>87</v>
      </c>
      <c r="D41" s="44" t="s">
        <v>57</v>
      </c>
      <c r="E41" s="44" t="s">
        <v>88</v>
      </c>
      <c r="F41" s="44" t="s">
        <v>89</v>
      </c>
      <c r="G41" s="44" t="s">
        <v>0</v>
      </c>
      <c r="H41" s="44" t="s">
        <v>0</v>
      </c>
      <c r="I41" s="44" t="s">
        <v>0</v>
      </c>
      <c r="J41" s="44" t="s">
        <v>0</v>
      </c>
      <c r="K41" s="44" t="s">
        <v>0</v>
      </c>
    </row>
    <row r="42" ht="19.95" customHeight="1" spans="1:11">
      <c r="A42" s="44" t="s">
        <v>0</v>
      </c>
      <c r="B42" s="44" t="s">
        <v>0</v>
      </c>
      <c r="C42" s="44" t="s">
        <v>0</v>
      </c>
      <c r="D42" s="44" t="s">
        <v>0</v>
      </c>
      <c r="E42" s="44" t="s">
        <v>0</v>
      </c>
      <c r="F42" s="45" t="s">
        <v>63</v>
      </c>
      <c r="G42" s="44" t="s">
        <v>64</v>
      </c>
      <c r="H42" s="44" t="s">
        <v>65</v>
      </c>
      <c r="I42" s="44" t="s">
        <v>66</v>
      </c>
      <c r="J42" s="44" t="s">
        <v>67</v>
      </c>
      <c r="K42" s="44" t="s">
        <v>90</v>
      </c>
    </row>
    <row r="43" ht="19.95" customHeight="1" spans="1:11">
      <c r="A43" s="55" t="s">
        <v>68</v>
      </c>
      <c r="B43" s="55" t="s">
        <v>472</v>
      </c>
      <c r="C43" s="56" t="s">
        <v>363</v>
      </c>
      <c r="D43" s="55" t="s">
        <v>70</v>
      </c>
      <c r="E43" s="57">
        <f>'[1]附表C-6营造林工程投资概算'!$D$14</f>
        <v>59.45</v>
      </c>
      <c r="F43" s="58">
        <f>ROUND(E43*'[1]附表C-2营造林技术经济指标表'!$K$15,2)*0.94*0.85</f>
        <v>60597.39845</v>
      </c>
      <c r="G43" s="63" t="s">
        <v>0</v>
      </c>
      <c r="H43" s="63" t="s">
        <v>0</v>
      </c>
      <c r="I43" s="67">
        <f>ROUND(F43*0.02,2)</f>
        <v>1211.95</v>
      </c>
      <c r="J43" s="67">
        <f>ROUND(F43*0.05,2)</f>
        <v>3029.87</v>
      </c>
      <c r="K43" s="63">
        <f>SUM(F43:J43)</f>
        <v>64839.21845</v>
      </c>
    </row>
    <row r="44" ht="19.95" customHeight="1" spans="1:11">
      <c r="A44" s="55" t="s">
        <v>71</v>
      </c>
      <c r="B44" s="55" t="s">
        <v>473</v>
      </c>
      <c r="C44" s="56" t="s">
        <v>453</v>
      </c>
      <c r="D44" s="55" t="s">
        <v>70</v>
      </c>
      <c r="E44" s="57">
        <f>'[1]附表C-6营造林工程投资概算'!$D$14</f>
        <v>59.45</v>
      </c>
      <c r="F44" s="58"/>
      <c r="G44" s="63"/>
      <c r="H44" s="63"/>
      <c r="I44" s="67"/>
      <c r="J44" s="67"/>
      <c r="K44" s="63"/>
    </row>
    <row r="45" ht="19.95" customHeight="1" spans="1:11">
      <c r="A45" s="55" t="s">
        <v>73</v>
      </c>
      <c r="B45" s="55" t="s">
        <v>474</v>
      </c>
      <c r="C45" s="56" t="s">
        <v>93</v>
      </c>
      <c r="D45" s="55" t="s">
        <v>70</v>
      </c>
      <c r="E45" s="57">
        <f>'[1]附表C-6营造林工程投资概算'!$D$14</f>
        <v>59.45</v>
      </c>
      <c r="F45" s="58"/>
      <c r="G45" s="63"/>
      <c r="H45" s="63"/>
      <c r="I45" s="67"/>
      <c r="J45" s="67"/>
      <c r="K45" s="63"/>
    </row>
    <row r="46" ht="19.95" customHeight="1" spans="1:11">
      <c r="A46" s="55" t="s">
        <v>94</v>
      </c>
      <c r="B46" s="55" t="s">
        <v>475</v>
      </c>
      <c r="C46" s="56" t="s">
        <v>99</v>
      </c>
      <c r="D46" s="55" t="s">
        <v>70</v>
      </c>
      <c r="E46" s="57">
        <f>'[1]附表C-6营造林工程投资概算'!$D$14</f>
        <v>59.45</v>
      </c>
      <c r="F46" s="58"/>
      <c r="G46" s="63"/>
      <c r="H46" s="63"/>
      <c r="I46" s="67"/>
      <c r="J46" s="67"/>
      <c r="K46" s="63"/>
    </row>
    <row r="47" ht="19.95" customHeight="1" spans="1:11">
      <c r="A47" s="55" t="s">
        <v>96</v>
      </c>
      <c r="B47" s="55" t="s">
        <v>476</v>
      </c>
      <c r="C47" s="56" t="s">
        <v>101</v>
      </c>
      <c r="D47" s="55" t="s">
        <v>70</v>
      </c>
      <c r="E47" s="57">
        <f>'[1]附表C-6营造林工程投资概算'!$D$14</f>
        <v>59.45</v>
      </c>
      <c r="F47" s="58"/>
      <c r="G47" s="63"/>
      <c r="H47" s="63"/>
      <c r="I47" s="67"/>
      <c r="J47" s="67"/>
      <c r="K47" s="63"/>
    </row>
    <row r="48" ht="19.95" customHeight="1" spans="1:11">
      <c r="A48" s="55" t="s">
        <v>98</v>
      </c>
      <c r="B48" s="55" t="s">
        <v>477</v>
      </c>
      <c r="C48" s="56" t="s">
        <v>172</v>
      </c>
      <c r="D48" s="55" t="s">
        <v>70</v>
      </c>
      <c r="E48" s="57">
        <f>'[1]附表C-6营造林工程投资概算'!$D$14</f>
        <v>59.45</v>
      </c>
      <c r="F48" s="58"/>
      <c r="G48" s="63"/>
      <c r="H48" s="63"/>
      <c r="I48" s="67"/>
      <c r="J48" s="67"/>
      <c r="K48" s="63"/>
    </row>
    <row r="49" ht="19.95" customHeight="1" spans="1:11">
      <c r="A49" s="55" t="s">
        <v>100</v>
      </c>
      <c r="B49" s="55" t="s">
        <v>478</v>
      </c>
      <c r="C49" s="56" t="s">
        <v>95</v>
      </c>
      <c r="D49" s="55" t="s">
        <v>70</v>
      </c>
      <c r="E49" s="57">
        <f>'[1]附表C-6营造林工程投资概算'!$D$14</f>
        <v>59.45</v>
      </c>
      <c r="F49" s="58"/>
      <c r="G49" s="58"/>
      <c r="H49" s="63"/>
      <c r="I49" s="67"/>
      <c r="J49" s="67"/>
      <c r="K49" s="63"/>
    </row>
    <row r="50" ht="19.95" customHeight="1" spans="1:11">
      <c r="A50" s="55" t="s">
        <v>102</v>
      </c>
      <c r="B50" s="55" t="s">
        <v>479</v>
      </c>
      <c r="C50" s="56" t="s">
        <v>105</v>
      </c>
      <c r="D50" s="55" t="s">
        <v>70</v>
      </c>
      <c r="E50" s="57">
        <f>'[1]附表C-6营造林工程投资概算'!$D$14</f>
        <v>59.45</v>
      </c>
      <c r="F50" s="58"/>
      <c r="G50" s="63"/>
      <c r="H50" s="63"/>
      <c r="I50" s="67"/>
      <c r="J50" s="67"/>
      <c r="K50" s="63"/>
    </row>
    <row r="51" ht="19.95" customHeight="1" spans="1:13">
      <c r="A51" s="55" t="s">
        <v>8</v>
      </c>
      <c r="B51" s="55" t="s">
        <v>8</v>
      </c>
      <c r="C51" s="55" t="s">
        <v>106</v>
      </c>
      <c r="D51" s="55" t="s">
        <v>8</v>
      </c>
      <c r="E51" s="57" t="s">
        <v>8</v>
      </c>
      <c r="F51" s="58">
        <f>SUM(F43:F50)</f>
        <v>60597.39845</v>
      </c>
      <c r="G51" s="58">
        <f>SUM(G43:G50)</f>
        <v>0</v>
      </c>
      <c r="H51" s="47" t="s">
        <v>0</v>
      </c>
      <c r="I51" s="63">
        <f>SUM(I43:I50)</f>
        <v>1211.95</v>
      </c>
      <c r="J51" s="63">
        <f>SUM(J43:J50)</f>
        <v>3029.87</v>
      </c>
      <c r="K51" s="63">
        <f>SUM(F51:J51)</f>
        <v>64839.21845</v>
      </c>
      <c r="M51" s="1">
        <f>ROUND(K51/E50,2)</f>
        <v>1090.65</v>
      </c>
    </row>
    <row r="52" ht="171.6" customHeight="1" spans="1:1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</row>
    <row r="53" spans="1:11">
      <c r="A53" s="17" t="s">
        <v>0</v>
      </c>
      <c r="B53" s="17" t="s">
        <v>0</v>
      </c>
      <c r="C53" s="17" t="s">
        <v>0</v>
      </c>
      <c r="D53" s="17" t="s">
        <v>0</v>
      </c>
      <c r="E53" s="17" t="s">
        <v>0</v>
      </c>
      <c r="F53" s="17" t="s">
        <v>0</v>
      </c>
      <c r="G53" s="28"/>
      <c r="H53" s="28"/>
      <c r="I53" s="28"/>
      <c r="J53" s="28"/>
      <c r="K53" s="28"/>
    </row>
    <row r="54" ht="20.4" customHeight="1" spans="1:11">
      <c r="A54" s="41" t="s">
        <v>0</v>
      </c>
      <c r="B54" s="41" t="s">
        <v>0</v>
      </c>
      <c r="C54" s="42" t="s">
        <v>77</v>
      </c>
      <c r="D54" s="42" t="s">
        <v>0</v>
      </c>
      <c r="E54" s="42" t="s">
        <v>0</v>
      </c>
      <c r="F54" s="42" t="s">
        <v>0</v>
      </c>
      <c r="G54" s="42" t="s">
        <v>0</v>
      </c>
      <c r="H54" s="42" t="s">
        <v>0</v>
      </c>
      <c r="I54" s="42" t="s">
        <v>0</v>
      </c>
      <c r="J54" s="49" t="s">
        <v>480</v>
      </c>
      <c r="K54" s="49" t="s">
        <v>0</v>
      </c>
    </row>
    <row r="55" ht="19.95" customHeight="1" spans="1:11">
      <c r="A55" s="41" t="s">
        <v>79</v>
      </c>
      <c r="B55" s="41" t="s">
        <v>0</v>
      </c>
      <c r="C55" s="41" t="s">
        <v>0</v>
      </c>
      <c r="D55" s="41" t="s">
        <v>0</v>
      </c>
      <c r="E55" s="41" t="s">
        <v>0</v>
      </c>
      <c r="F55" s="41" t="s">
        <v>0</v>
      </c>
      <c r="G55" s="41" t="s">
        <v>0</v>
      </c>
      <c r="H55" s="41" t="s">
        <v>0</v>
      </c>
      <c r="I55" s="41" t="s">
        <v>0</v>
      </c>
      <c r="J55" s="41" t="s">
        <v>0</v>
      </c>
      <c r="K55" s="41" t="s">
        <v>0</v>
      </c>
    </row>
    <row r="56" ht="19.95" customHeight="1" spans="1:11">
      <c r="A56" s="54" t="s">
        <v>22</v>
      </c>
      <c r="B56" s="54" t="s">
        <v>0</v>
      </c>
      <c r="C56" s="34" t="s">
        <v>448</v>
      </c>
      <c r="D56" s="34" t="s">
        <v>0</v>
      </c>
      <c r="E56" s="34" t="s">
        <v>0</v>
      </c>
      <c r="F56" s="34" t="s">
        <v>0</v>
      </c>
      <c r="G56" s="34" t="s">
        <v>0</v>
      </c>
      <c r="H56" s="34" t="s">
        <v>0</v>
      </c>
      <c r="I56" s="34" t="s">
        <v>0</v>
      </c>
      <c r="J56" s="34" t="s">
        <v>81</v>
      </c>
      <c r="K56" s="34" t="s">
        <v>0</v>
      </c>
    </row>
    <row r="57" ht="19.95" customHeight="1" spans="1:11">
      <c r="A57" s="54" t="s">
        <v>82</v>
      </c>
      <c r="B57" s="54" t="s">
        <v>0</v>
      </c>
      <c r="C57" s="34" t="s">
        <v>481</v>
      </c>
      <c r="D57" s="34" t="s">
        <v>0</v>
      </c>
      <c r="E57" s="34" t="s">
        <v>0</v>
      </c>
      <c r="F57" s="34" t="s">
        <v>0</v>
      </c>
      <c r="G57" s="34" t="s">
        <v>0</v>
      </c>
      <c r="H57" s="34" t="s">
        <v>0</v>
      </c>
      <c r="I57" s="34" t="s">
        <v>0</v>
      </c>
      <c r="J57" s="34" t="str">
        <f>"工程数量："&amp;'[1]附表C-6营造林工程投资概算'!$D$15</f>
        <v>工程数量：111.11</v>
      </c>
      <c r="K57" s="34" t="s">
        <v>0</v>
      </c>
    </row>
    <row r="58" ht="19.95" customHeight="1" spans="1:11">
      <c r="A58" s="54" t="s">
        <v>84</v>
      </c>
      <c r="B58" s="54" t="s">
        <v>0</v>
      </c>
      <c r="C58" s="34" t="s">
        <v>482</v>
      </c>
      <c r="D58" s="34" t="s">
        <v>0</v>
      </c>
      <c r="E58" s="34" t="s">
        <v>0</v>
      </c>
      <c r="F58" s="34" t="s">
        <v>0</v>
      </c>
      <c r="G58" s="34" t="s">
        <v>0</v>
      </c>
      <c r="H58" s="34" t="s">
        <v>0</v>
      </c>
      <c r="I58" s="34" t="s">
        <v>0</v>
      </c>
      <c r="J58" s="34" t="str">
        <f>"综合单价："&amp;$M$69&amp;"元"</f>
        <v>综合单价：979.03元</v>
      </c>
      <c r="K58" s="34" t="s">
        <v>0</v>
      </c>
    </row>
    <row r="59" ht="19.95" customHeight="1" spans="1:11">
      <c r="A59" s="44" t="s">
        <v>28</v>
      </c>
      <c r="B59" s="44" t="s">
        <v>86</v>
      </c>
      <c r="C59" s="44" t="s">
        <v>87</v>
      </c>
      <c r="D59" s="44" t="s">
        <v>57</v>
      </c>
      <c r="E59" s="44" t="s">
        <v>88</v>
      </c>
      <c r="F59" s="44" t="s">
        <v>89</v>
      </c>
      <c r="G59" s="44" t="s">
        <v>0</v>
      </c>
      <c r="H59" s="44" t="s">
        <v>0</v>
      </c>
      <c r="I59" s="44" t="s">
        <v>0</v>
      </c>
      <c r="J59" s="44" t="s">
        <v>0</v>
      </c>
      <c r="K59" s="44" t="s">
        <v>0</v>
      </c>
    </row>
    <row r="60" ht="19.95" customHeight="1" spans="1:11">
      <c r="A60" s="44" t="s">
        <v>0</v>
      </c>
      <c r="B60" s="44" t="s">
        <v>0</v>
      </c>
      <c r="C60" s="44" t="s">
        <v>0</v>
      </c>
      <c r="D60" s="44" t="s">
        <v>0</v>
      </c>
      <c r="E60" s="44" t="s">
        <v>0</v>
      </c>
      <c r="F60" s="45" t="s">
        <v>63</v>
      </c>
      <c r="G60" s="44" t="s">
        <v>64</v>
      </c>
      <c r="H60" s="44" t="s">
        <v>65</v>
      </c>
      <c r="I60" s="44" t="s">
        <v>66</v>
      </c>
      <c r="J60" s="44" t="s">
        <v>67</v>
      </c>
      <c r="K60" s="44" t="s">
        <v>90</v>
      </c>
    </row>
    <row r="61" ht="19.95" customHeight="1" spans="1:11">
      <c r="A61" s="55" t="s">
        <v>68</v>
      </c>
      <c r="B61" s="55" t="s">
        <v>483</v>
      </c>
      <c r="C61" s="56" t="s">
        <v>363</v>
      </c>
      <c r="D61" s="55" t="s">
        <v>70</v>
      </c>
      <c r="E61" s="57">
        <f>'[1]附表C-6营造林工程投资概算'!$D$15</f>
        <v>111.11</v>
      </c>
      <c r="F61" s="58">
        <f>ROUND(E61*'[1]附表C-2营造林技术经济指标表'!$L$15,2)*0.94*0.85</f>
        <v>101663.74527</v>
      </c>
      <c r="G61" s="63" t="s">
        <v>0</v>
      </c>
      <c r="H61" s="63" t="s">
        <v>0</v>
      </c>
      <c r="I61" s="67">
        <f>ROUND(F61*0.02,2)</f>
        <v>2033.27</v>
      </c>
      <c r="J61" s="67">
        <f>ROUND(F61*0.05,2)</f>
        <v>5083.19</v>
      </c>
      <c r="K61" s="63">
        <f>SUM(F61:J61)</f>
        <v>108780.20527</v>
      </c>
    </row>
    <row r="62" ht="19.95" customHeight="1" spans="1:11">
      <c r="A62" s="55" t="s">
        <v>71</v>
      </c>
      <c r="B62" s="55" t="s">
        <v>484</v>
      </c>
      <c r="C62" s="56" t="s">
        <v>453</v>
      </c>
      <c r="D62" s="55" t="s">
        <v>70</v>
      </c>
      <c r="E62" s="57">
        <f>'[1]附表C-6营造林工程投资概算'!$D$15</f>
        <v>111.11</v>
      </c>
      <c r="F62" s="58"/>
      <c r="G62" s="63"/>
      <c r="H62" s="63"/>
      <c r="I62" s="67"/>
      <c r="J62" s="67"/>
      <c r="K62" s="63"/>
    </row>
    <row r="63" ht="19.95" customHeight="1" spans="1:11">
      <c r="A63" s="55" t="s">
        <v>73</v>
      </c>
      <c r="B63" s="55" t="s">
        <v>485</v>
      </c>
      <c r="C63" s="56" t="s">
        <v>93</v>
      </c>
      <c r="D63" s="55" t="s">
        <v>70</v>
      </c>
      <c r="E63" s="57">
        <f>'[1]附表C-6营造林工程投资概算'!$D$15</f>
        <v>111.11</v>
      </c>
      <c r="F63" s="58"/>
      <c r="G63" s="63"/>
      <c r="H63" s="63"/>
      <c r="I63" s="67"/>
      <c r="J63" s="67"/>
      <c r="K63" s="63"/>
    </row>
    <row r="64" ht="19.95" customHeight="1" spans="1:11">
      <c r="A64" s="55" t="s">
        <v>94</v>
      </c>
      <c r="B64" s="55" t="s">
        <v>486</v>
      </c>
      <c r="C64" s="56" t="s">
        <v>99</v>
      </c>
      <c r="D64" s="55" t="s">
        <v>70</v>
      </c>
      <c r="E64" s="57">
        <f>'[1]附表C-6营造林工程投资概算'!$D$15</f>
        <v>111.11</v>
      </c>
      <c r="F64" s="58"/>
      <c r="G64" s="63"/>
      <c r="H64" s="63"/>
      <c r="I64" s="67"/>
      <c r="J64" s="67"/>
      <c r="K64" s="63"/>
    </row>
    <row r="65" ht="19.95" customHeight="1" spans="1:11">
      <c r="A65" s="55" t="s">
        <v>96</v>
      </c>
      <c r="B65" s="55" t="s">
        <v>487</v>
      </c>
      <c r="C65" s="56" t="s">
        <v>101</v>
      </c>
      <c r="D65" s="55" t="s">
        <v>70</v>
      </c>
      <c r="E65" s="57">
        <f>'[1]附表C-6营造林工程投资概算'!$D$15</f>
        <v>111.11</v>
      </c>
      <c r="F65" s="58"/>
      <c r="G65" s="63"/>
      <c r="H65" s="63"/>
      <c r="I65" s="67"/>
      <c r="J65" s="67"/>
      <c r="K65" s="63"/>
    </row>
    <row r="66" ht="19.95" customHeight="1" spans="1:11">
      <c r="A66" s="55" t="s">
        <v>98</v>
      </c>
      <c r="B66" s="55" t="s">
        <v>488</v>
      </c>
      <c r="C66" s="56" t="s">
        <v>172</v>
      </c>
      <c r="D66" s="55" t="s">
        <v>70</v>
      </c>
      <c r="E66" s="57">
        <f>'[1]附表C-6营造林工程投资概算'!$D$15</f>
        <v>111.11</v>
      </c>
      <c r="F66" s="58"/>
      <c r="G66" s="63"/>
      <c r="H66" s="63"/>
      <c r="I66" s="67"/>
      <c r="J66" s="67"/>
      <c r="K66" s="63"/>
    </row>
    <row r="67" ht="19.95" customHeight="1" spans="1:11">
      <c r="A67" s="55" t="s">
        <v>100</v>
      </c>
      <c r="B67" s="55" t="s">
        <v>478</v>
      </c>
      <c r="C67" s="56" t="s">
        <v>95</v>
      </c>
      <c r="D67" s="55" t="s">
        <v>70</v>
      </c>
      <c r="E67" s="57">
        <f>'[1]附表C-6营造林工程投资概算'!$D$15</f>
        <v>111.11</v>
      </c>
      <c r="F67" s="58"/>
      <c r="G67" s="58"/>
      <c r="H67" s="63"/>
      <c r="I67" s="67"/>
      <c r="J67" s="67"/>
      <c r="K67" s="63"/>
    </row>
    <row r="68" ht="19.95" customHeight="1" spans="1:11">
      <c r="A68" s="55" t="s">
        <v>102</v>
      </c>
      <c r="B68" s="55" t="s">
        <v>489</v>
      </c>
      <c r="C68" s="56" t="s">
        <v>105</v>
      </c>
      <c r="D68" s="55" t="s">
        <v>70</v>
      </c>
      <c r="E68" s="57">
        <f>'[1]附表C-6营造林工程投资概算'!$D$15</f>
        <v>111.11</v>
      </c>
      <c r="F68" s="58"/>
      <c r="G68" s="63"/>
      <c r="H68" s="63"/>
      <c r="I68" s="67"/>
      <c r="J68" s="67"/>
      <c r="K68" s="63"/>
    </row>
    <row r="69" ht="19.95" customHeight="1" spans="1:13">
      <c r="A69" s="55" t="s">
        <v>8</v>
      </c>
      <c r="B69" s="55" t="s">
        <v>8</v>
      </c>
      <c r="C69" s="55" t="s">
        <v>106</v>
      </c>
      <c r="D69" s="55" t="s">
        <v>8</v>
      </c>
      <c r="E69" s="57" t="s">
        <v>8</v>
      </c>
      <c r="F69" s="58">
        <f>SUM(F61:F68)</f>
        <v>101663.74527</v>
      </c>
      <c r="G69" s="58">
        <f>SUM(G61:G68)</f>
        <v>0</v>
      </c>
      <c r="H69" s="47" t="s">
        <v>0</v>
      </c>
      <c r="I69" s="63">
        <f>SUM(I61:I68)</f>
        <v>2033.27</v>
      </c>
      <c r="J69" s="63">
        <f>SUM(J61:J68)</f>
        <v>5083.19</v>
      </c>
      <c r="K69" s="63">
        <f t="shared" ref="K68:K69" si="0">SUM(F69:J69)</f>
        <v>108780.20527</v>
      </c>
      <c r="M69" s="1">
        <f>ROUND(K69/E68,2)</f>
        <v>979.03</v>
      </c>
    </row>
    <row r="70" ht="168.6" customHeight="1" spans="1:1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</row>
    <row r="71" spans="1:11">
      <c r="A71" s="17" t="s">
        <v>0</v>
      </c>
      <c r="B71" s="17" t="s">
        <v>0</v>
      </c>
      <c r="C71" s="17" t="s">
        <v>0</v>
      </c>
      <c r="D71" s="17" t="s">
        <v>0</v>
      </c>
      <c r="E71" s="17" t="s">
        <v>0</v>
      </c>
      <c r="F71" s="17" t="s">
        <v>0</v>
      </c>
      <c r="G71" s="28"/>
      <c r="H71" s="28"/>
      <c r="I71" s="28"/>
      <c r="J71" s="28"/>
      <c r="K71" s="28"/>
    </row>
    <row r="72" ht="18.6" customHeight="1" spans="1:11">
      <c r="A72" s="41" t="s">
        <v>0</v>
      </c>
      <c r="B72" s="41" t="s">
        <v>0</v>
      </c>
      <c r="C72" s="42" t="s">
        <v>77</v>
      </c>
      <c r="D72" s="42" t="s">
        <v>0</v>
      </c>
      <c r="E72" s="42" t="s">
        <v>0</v>
      </c>
      <c r="F72" s="42" t="s">
        <v>0</v>
      </c>
      <c r="G72" s="42" t="s">
        <v>0</v>
      </c>
      <c r="H72" s="42" t="s">
        <v>0</v>
      </c>
      <c r="I72" s="42" t="s">
        <v>0</v>
      </c>
      <c r="J72" s="49" t="s">
        <v>490</v>
      </c>
      <c r="K72" s="49" t="s">
        <v>0</v>
      </c>
    </row>
    <row r="73" ht="19.95" customHeight="1" spans="1:11">
      <c r="A73" s="41" t="s">
        <v>79</v>
      </c>
      <c r="B73" s="41" t="s">
        <v>0</v>
      </c>
      <c r="C73" s="41" t="s">
        <v>0</v>
      </c>
      <c r="D73" s="41" t="s">
        <v>0</v>
      </c>
      <c r="E73" s="41" t="s">
        <v>0</v>
      </c>
      <c r="F73" s="41" t="s">
        <v>0</v>
      </c>
      <c r="G73" s="41" t="s">
        <v>0</v>
      </c>
      <c r="H73" s="41" t="s">
        <v>0</v>
      </c>
      <c r="I73" s="41" t="s">
        <v>0</v>
      </c>
      <c r="J73" s="41" t="s">
        <v>0</v>
      </c>
      <c r="K73" s="41" t="s">
        <v>0</v>
      </c>
    </row>
    <row r="74" ht="19.95" customHeight="1" spans="1:11">
      <c r="A74" s="54" t="s">
        <v>22</v>
      </c>
      <c r="B74" s="54" t="s">
        <v>0</v>
      </c>
      <c r="C74" s="34" t="s">
        <v>448</v>
      </c>
      <c r="D74" s="34" t="s">
        <v>0</v>
      </c>
      <c r="E74" s="34" t="s">
        <v>0</v>
      </c>
      <c r="F74" s="34" t="s">
        <v>0</v>
      </c>
      <c r="G74" s="34" t="s">
        <v>0</v>
      </c>
      <c r="H74" s="34" t="s">
        <v>0</v>
      </c>
      <c r="I74" s="34" t="s">
        <v>0</v>
      </c>
      <c r="J74" s="34" t="s">
        <v>81</v>
      </c>
      <c r="K74" s="34" t="s">
        <v>0</v>
      </c>
    </row>
    <row r="75" ht="19.95" customHeight="1" spans="1:11">
      <c r="A75" s="54" t="s">
        <v>82</v>
      </c>
      <c r="B75" s="54" t="s">
        <v>0</v>
      </c>
      <c r="C75" s="34" t="s">
        <v>491</v>
      </c>
      <c r="D75" s="34" t="s">
        <v>0</v>
      </c>
      <c r="E75" s="34" t="s">
        <v>0</v>
      </c>
      <c r="F75" s="34" t="s">
        <v>0</v>
      </c>
      <c r="G75" s="34" t="s">
        <v>0</v>
      </c>
      <c r="H75" s="34" t="s">
        <v>0</v>
      </c>
      <c r="I75" s="34" t="s">
        <v>0</v>
      </c>
      <c r="J75" s="34" t="str">
        <f>"工程数量："&amp;'[1]附表C-6营造林工程投资概算'!$D$16</f>
        <v>工程数量：224.18</v>
      </c>
      <c r="K75" s="34" t="s">
        <v>0</v>
      </c>
    </row>
    <row r="76" ht="19.95" customHeight="1" spans="1:11">
      <c r="A76" s="54" t="s">
        <v>84</v>
      </c>
      <c r="B76" s="54" t="s">
        <v>0</v>
      </c>
      <c r="C76" s="34" t="s">
        <v>492</v>
      </c>
      <c r="D76" s="34" t="s">
        <v>0</v>
      </c>
      <c r="E76" s="34" t="s">
        <v>0</v>
      </c>
      <c r="F76" s="34" t="s">
        <v>0</v>
      </c>
      <c r="G76" s="34" t="s">
        <v>0</v>
      </c>
      <c r="H76" s="34" t="s">
        <v>0</v>
      </c>
      <c r="I76" s="34" t="s">
        <v>0</v>
      </c>
      <c r="J76" s="34" t="str">
        <f>"综合单价："&amp;$M$87&amp;"元"</f>
        <v>综合单价：1090.65元</v>
      </c>
      <c r="K76" s="34" t="s">
        <v>0</v>
      </c>
    </row>
    <row r="77" ht="19.95" customHeight="1" spans="1:11">
      <c r="A77" s="44" t="s">
        <v>28</v>
      </c>
      <c r="B77" s="44" t="s">
        <v>86</v>
      </c>
      <c r="C77" s="44" t="s">
        <v>87</v>
      </c>
      <c r="D77" s="44" t="s">
        <v>57</v>
      </c>
      <c r="E77" s="44" t="s">
        <v>88</v>
      </c>
      <c r="F77" s="44" t="s">
        <v>89</v>
      </c>
      <c r="G77" s="44" t="s">
        <v>0</v>
      </c>
      <c r="H77" s="44" t="s">
        <v>0</v>
      </c>
      <c r="I77" s="44" t="s">
        <v>0</v>
      </c>
      <c r="J77" s="44" t="s">
        <v>0</v>
      </c>
      <c r="K77" s="44" t="s">
        <v>0</v>
      </c>
    </row>
    <row r="78" ht="19.95" customHeight="1" spans="1:11">
      <c r="A78" s="44" t="s">
        <v>0</v>
      </c>
      <c r="B78" s="44" t="s">
        <v>0</v>
      </c>
      <c r="C78" s="44" t="s">
        <v>0</v>
      </c>
      <c r="D78" s="44" t="s">
        <v>0</v>
      </c>
      <c r="E78" s="44" t="s">
        <v>0</v>
      </c>
      <c r="F78" s="45" t="s">
        <v>63</v>
      </c>
      <c r="G78" s="44" t="s">
        <v>64</v>
      </c>
      <c r="H78" s="44" t="s">
        <v>65</v>
      </c>
      <c r="I78" s="44" t="s">
        <v>66</v>
      </c>
      <c r="J78" s="44" t="s">
        <v>67</v>
      </c>
      <c r="K78" s="44" t="s">
        <v>90</v>
      </c>
    </row>
    <row r="79" ht="19.95" customHeight="1" spans="1:11">
      <c r="A79" s="55" t="s">
        <v>68</v>
      </c>
      <c r="B79" s="55" t="s">
        <v>493</v>
      </c>
      <c r="C79" s="56" t="s">
        <v>363</v>
      </c>
      <c r="D79" s="55" t="s">
        <v>70</v>
      </c>
      <c r="E79" s="57">
        <f>'[1]附表C-6营造林工程投资概算'!$D$16</f>
        <v>224.18</v>
      </c>
      <c r="F79" s="58">
        <f>ROUND(E79*'[1]附表C-2营造林技术经济指标表'!$M$15,2)*0.94*0.85</f>
        <v>228506.73709</v>
      </c>
      <c r="G79" s="63" t="s">
        <v>0</v>
      </c>
      <c r="H79" s="63" t="s">
        <v>0</v>
      </c>
      <c r="I79" s="67">
        <f>ROUND(F79*0.02,2)</f>
        <v>4570.13</v>
      </c>
      <c r="J79" s="67">
        <f>ROUND(F79*0.05,2)</f>
        <v>11425.34</v>
      </c>
      <c r="K79" s="63">
        <f>SUM(F79:J79)</f>
        <v>244502.20709</v>
      </c>
    </row>
    <row r="80" ht="19.95" customHeight="1" spans="1:11">
      <c r="A80" s="55" t="s">
        <v>71</v>
      </c>
      <c r="B80" s="55" t="s">
        <v>494</v>
      </c>
      <c r="C80" s="56" t="s">
        <v>453</v>
      </c>
      <c r="D80" s="55" t="s">
        <v>70</v>
      </c>
      <c r="E80" s="57">
        <f>'[1]附表C-6营造林工程投资概算'!$D$16</f>
        <v>224.18</v>
      </c>
      <c r="F80" s="58"/>
      <c r="G80" s="63"/>
      <c r="H80" s="63"/>
      <c r="I80" s="67"/>
      <c r="J80" s="67"/>
      <c r="K80" s="63"/>
    </row>
    <row r="81" ht="19.95" customHeight="1" spans="1:11">
      <c r="A81" s="55" t="s">
        <v>73</v>
      </c>
      <c r="B81" s="55" t="s">
        <v>495</v>
      </c>
      <c r="C81" s="56" t="s">
        <v>93</v>
      </c>
      <c r="D81" s="55" t="s">
        <v>70</v>
      </c>
      <c r="E81" s="57">
        <f>'[1]附表C-6营造林工程投资概算'!$D$16</f>
        <v>224.18</v>
      </c>
      <c r="F81" s="58"/>
      <c r="G81" s="63"/>
      <c r="H81" s="63"/>
      <c r="I81" s="67"/>
      <c r="J81" s="67"/>
      <c r="K81" s="63"/>
    </row>
    <row r="82" ht="19.95" customHeight="1" spans="1:11">
      <c r="A82" s="55" t="s">
        <v>94</v>
      </c>
      <c r="B82" s="55" t="s">
        <v>496</v>
      </c>
      <c r="C82" s="56" t="s">
        <v>99</v>
      </c>
      <c r="D82" s="55" t="s">
        <v>70</v>
      </c>
      <c r="E82" s="57">
        <f>'[1]附表C-6营造林工程投资概算'!$D$16</f>
        <v>224.18</v>
      </c>
      <c r="F82" s="58"/>
      <c r="G82" s="63"/>
      <c r="H82" s="63"/>
      <c r="I82" s="67"/>
      <c r="J82" s="67"/>
      <c r="K82" s="63"/>
    </row>
    <row r="83" ht="19.95" customHeight="1" spans="1:11">
      <c r="A83" s="55" t="s">
        <v>96</v>
      </c>
      <c r="B83" s="55" t="s">
        <v>497</v>
      </c>
      <c r="C83" s="56" t="s">
        <v>101</v>
      </c>
      <c r="D83" s="55" t="s">
        <v>70</v>
      </c>
      <c r="E83" s="57">
        <f>'[1]附表C-6营造林工程投资概算'!$D$16</f>
        <v>224.18</v>
      </c>
      <c r="F83" s="58"/>
      <c r="G83" s="63"/>
      <c r="H83" s="63"/>
      <c r="I83" s="67"/>
      <c r="J83" s="67"/>
      <c r="K83" s="63"/>
    </row>
    <row r="84" ht="19.95" customHeight="1" spans="1:11">
      <c r="A84" s="55" t="s">
        <v>98</v>
      </c>
      <c r="B84" s="55" t="s">
        <v>498</v>
      </c>
      <c r="C84" s="56" t="s">
        <v>172</v>
      </c>
      <c r="D84" s="55" t="s">
        <v>70</v>
      </c>
      <c r="E84" s="57">
        <f>'[1]附表C-6营造林工程投资概算'!$D$16</f>
        <v>224.18</v>
      </c>
      <c r="F84" s="58"/>
      <c r="G84" s="63"/>
      <c r="H84" s="63"/>
      <c r="I84" s="67"/>
      <c r="J84" s="67"/>
      <c r="K84" s="63"/>
    </row>
    <row r="85" ht="19.95" customHeight="1" spans="1:11">
      <c r="A85" s="55" t="s">
        <v>100</v>
      </c>
      <c r="B85" s="55" t="s">
        <v>499</v>
      </c>
      <c r="C85" s="56" t="s">
        <v>95</v>
      </c>
      <c r="D85" s="55" t="s">
        <v>70</v>
      </c>
      <c r="E85" s="57">
        <f>'[1]附表C-6营造林工程投资概算'!$D$16</f>
        <v>224.18</v>
      </c>
      <c r="F85" s="58"/>
      <c r="G85" s="58"/>
      <c r="H85" s="63"/>
      <c r="I85" s="67"/>
      <c r="J85" s="67"/>
      <c r="K85" s="63"/>
    </row>
    <row r="86" ht="19.95" customHeight="1" spans="1:11">
      <c r="A86" s="55" t="s">
        <v>102</v>
      </c>
      <c r="B86" s="55" t="s">
        <v>500</v>
      </c>
      <c r="C86" s="56" t="s">
        <v>105</v>
      </c>
      <c r="D86" s="55" t="s">
        <v>70</v>
      </c>
      <c r="E86" s="57">
        <f>'[1]附表C-6营造林工程投资概算'!$D$16</f>
        <v>224.18</v>
      </c>
      <c r="F86" s="58"/>
      <c r="G86" s="63"/>
      <c r="H86" s="63"/>
      <c r="I86" s="67"/>
      <c r="J86" s="67"/>
      <c r="K86" s="63"/>
    </row>
    <row r="87" ht="19.95" customHeight="1" spans="1:13">
      <c r="A87" s="55" t="s">
        <v>8</v>
      </c>
      <c r="B87" s="55" t="s">
        <v>8</v>
      </c>
      <c r="C87" s="55" t="s">
        <v>106</v>
      </c>
      <c r="D87" s="55" t="s">
        <v>8</v>
      </c>
      <c r="E87" s="57" t="s">
        <v>8</v>
      </c>
      <c r="F87" s="58">
        <f>SUM(F79:F86)</f>
        <v>228506.73709</v>
      </c>
      <c r="G87" s="58">
        <f>SUM(G79:G86)</f>
        <v>0</v>
      </c>
      <c r="H87" s="47" t="s">
        <v>0</v>
      </c>
      <c r="I87" s="63">
        <f>SUM(I79:I86)</f>
        <v>4570.13</v>
      </c>
      <c r="J87" s="63">
        <f>SUM(J79:J86)</f>
        <v>11425.34</v>
      </c>
      <c r="K87" s="63">
        <f>SUM(F87:J87)</f>
        <v>244502.20709</v>
      </c>
      <c r="M87" s="1">
        <f>ROUND(K87/E86,2)</f>
        <v>1090.65</v>
      </c>
    </row>
    <row r="88" ht="174.6" customHeight="1" spans="1:1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17" t="s">
        <v>0</v>
      </c>
      <c r="B89" s="17" t="s">
        <v>0</v>
      </c>
      <c r="C89" s="17" t="s">
        <v>0</v>
      </c>
      <c r="D89" s="17" t="s">
        <v>0</v>
      </c>
      <c r="E89" s="17" t="s">
        <v>0</v>
      </c>
      <c r="F89" s="17" t="s">
        <v>0</v>
      </c>
      <c r="G89" s="28"/>
      <c r="H89" s="28"/>
      <c r="I89" s="28"/>
      <c r="J89" s="28"/>
      <c r="K89" s="28"/>
    </row>
    <row r="90" ht="31.2" hidden="1" customHeight="1" spans="1:11">
      <c r="A90" s="41" t="s">
        <v>0</v>
      </c>
      <c r="B90" s="41" t="s">
        <v>0</v>
      </c>
      <c r="C90" s="51" t="s">
        <v>358</v>
      </c>
      <c r="D90" s="51" t="s">
        <v>0</v>
      </c>
      <c r="E90" s="51" t="s">
        <v>0</v>
      </c>
      <c r="F90" s="51" t="s">
        <v>0</v>
      </c>
      <c r="G90" s="51" t="s">
        <v>0</v>
      </c>
      <c r="H90" s="51" t="s">
        <v>0</v>
      </c>
      <c r="I90" s="51" t="s">
        <v>0</v>
      </c>
      <c r="J90" s="49" t="s">
        <v>190</v>
      </c>
      <c r="K90" s="49" t="s">
        <v>0</v>
      </c>
    </row>
    <row r="91" hidden="1" spans="1:11">
      <c r="A91" s="41" t="s">
        <v>79</v>
      </c>
      <c r="B91" s="41" t="s">
        <v>0</v>
      </c>
      <c r="C91" s="41" t="s">
        <v>0</v>
      </c>
      <c r="D91" s="41" t="s">
        <v>0</v>
      </c>
      <c r="E91" s="41" t="s">
        <v>0</v>
      </c>
      <c r="F91" s="41" t="s">
        <v>0</v>
      </c>
      <c r="G91" s="41" t="s">
        <v>0</v>
      </c>
      <c r="H91" s="41" t="s">
        <v>0</v>
      </c>
      <c r="I91" s="41" t="s">
        <v>0</v>
      </c>
      <c r="J91" s="41" t="s">
        <v>0</v>
      </c>
      <c r="K91" s="41" t="s">
        <v>0</v>
      </c>
    </row>
    <row r="92" ht="19.95" hidden="1" customHeight="1" spans="1:11">
      <c r="A92" s="54" t="s">
        <v>22</v>
      </c>
      <c r="B92" s="54" t="s">
        <v>0</v>
      </c>
      <c r="C92" s="34" t="s">
        <v>501</v>
      </c>
      <c r="D92" s="34" t="s">
        <v>0</v>
      </c>
      <c r="E92" s="34" t="s">
        <v>0</v>
      </c>
      <c r="F92" s="34" t="s">
        <v>0</v>
      </c>
      <c r="G92" s="34" t="s">
        <v>0</v>
      </c>
      <c r="H92" s="34" t="s">
        <v>0</v>
      </c>
      <c r="I92" s="34" t="s">
        <v>0</v>
      </c>
      <c r="J92" s="34" t="s">
        <v>81</v>
      </c>
      <c r="K92" s="34" t="s">
        <v>0</v>
      </c>
    </row>
    <row r="93" ht="19.95" hidden="1" customHeight="1" spans="1:11">
      <c r="A93" s="54" t="s">
        <v>82</v>
      </c>
      <c r="B93" s="54" t="s">
        <v>0</v>
      </c>
      <c r="C93" s="34" t="s">
        <v>502</v>
      </c>
      <c r="D93" s="34" t="s">
        <v>0</v>
      </c>
      <c r="E93" s="34" t="s">
        <v>0</v>
      </c>
      <c r="F93" s="34" t="s">
        <v>0</v>
      </c>
      <c r="G93" s="34" t="s">
        <v>0</v>
      </c>
      <c r="H93" s="34" t="s">
        <v>0</v>
      </c>
      <c r="I93" s="34" t="s">
        <v>0</v>
      </c>
      <c r="J93" s="34" t="str">
        <f>"工程数量："&amp;'[1]附表C-6营造林工程投资概算'!$D$17</f>
        <v>工程数量：0</v>
      </c>
      <c r="K93" s="34" t="s">
        <v>0</v>
      </c>
    </row>
    <row r="94" ht="19.95" hidden="1" customHeight="1" spans="1:11">
      <c r="A94" s="54" t="s">
        <v>84</v>
      </c>
      <c r="B94" s="54" t="s">
        <v>0</v>
      </c>
      <c r="C94" s="34" t="s">
        <v>503</v>
      </c>
      <c r="D94" s="34" t="s">
        <v>0</v>
      </c>
      <c r="E94" s="34" t="s">
        <v>0</v>
      </c>
      <c r="F94" s="34" t="s">
        <v>0</v>
      </c>
      <c r="G94" s="34" t="s">
        <v>0</v>
      </c>
      <c r="H94" s="34" t="s">
        <v>0</v>
      </c>
      <c r="I94" s="34" t="s">
        <v>0</v>
      </c>
      <c r="J94" s="34" t="str">
        <f>"综合单价："&amp;'[1]附表C-2营造林技术经济指标表'!$N$5&amp;"元"</f>
        <v>综合单价：28810.83元</v>
      </c>
      <c r="K94" s="34" t="s">
        <v>0</v>
      </c>
    </row>
    <row r="95" ht="19.95" hidden="1" customHeight="1" spans="1:11">
      <c r="A95" s="44" t="s">
        <v>28</v>
      </c>
      <c r="B95" s="44" t="s">
        <v>86</v>
      </c>
      <c r="C95" s="44" t="s">
        <v>87</v>
      </c>
      <c r="D95" s="44" t="s">
        <v>57</v>
      </c>
      <c r="E95" s="44" t="s">
        <v>88</v>
      </c>
      <c r="F95" s="44" t="s">
        <v>89</v>
      </c>
      <c r="G95" s="44" t="s">
        <v>0</v>
      </c>
      <c r="H95" s="44" t="s">
        <v>0</v>
      </c>
      <c r="I95" s="44" t="s">
        <v>0</v>
      </c>
      <c r="J95" s="44" t="s">
        <v>0</v>
      </c>
      <c r="K95" s="44" t="s">
        <v>0</v>
      </c>
    </row>
    <row r="96" ht="19.95" hidden="1" customHeight="1" spans="1:11">
      <c r="A96" s="44" t="s">
        <v>0</v>
      </c>
      <c r="B96" s="44" t="s">
        <v>0</v>
      </c>
      <c r="C96" s="44" t="s">
        <v>0</v>
      </c>
      <c r="D96" s="44" t="s">
        <v>0</v>
      </c>
      <c r="E96" s="44" t="s">
        <v>0</v>
      </c>
      <c r="F96" s="45" t="s">
        <v>63</v>
      </c>
      <c r="G96" s="44" t="s">
        <v>64</v>
      </c>
      <c r="H96" s="44" t="s">
        <v>65</v>
      </c>
      <c r="I96" s="44" t="s">
        <v>66</v>
      </c>
      <c r="J96" s="44" t="s">
        <v>67</v>
      </c>
      <c r="K96" s="44" t="s">
        <v>90</v>
      </c>
    </row>
    <row r="97" ht="19.95" hidden="1" customHeight="1" spans="1:11">
      <c r="A97" s="55" t="s">
        <v>68</v>
      </c>
      <c r="B97" s="55" t="s">
        <v>504</v>
      </c>
      <c r="C97" s="56" t="s">
        <v>363</v>
      </c>
      <c r="D97" s="55" t="s">
        <v>70</v>
      </c>
      <c r="E97" s="57">
        <f>'[1]附表C-6营造林工程投资概算'!$D$17</f>
        <v>0</v>
      </c>
      <c r="F97" s="59">
        <f>ROUND(E97*'[1]附表C-2营造林技术经济指标表'!$N$15,2)</f>
        <v>0</v>
      </c>
      <c r="G97" s="57" t="s">
        <v>0</v>
      </c>
      <c r="H97" s="57" t="s">
        <v>0</v>
      </c>
      <c r="I97" s="57" t="s">
        <v>8</v>
      </c>
      <c r="J97" s="57" t="s">
        <v>8</v>
      </c>
      <c r="K97" s="57">
        <f>SUM(F97:J97)</f>
        <v>0</v>
      </c>
    </row>
    <row r="98" ht="19.95" hidden="1" customHeight="1" spans="1:11">
      <c r="A98" s="55" t="s">
        <v>71</v>
      </c>
      <c r="B98" s="55" t="s">
        <v>505</v>
      </c>
      <c r="C98" s="56" t="s">
        <v>453</v>
      </c>
      <c r="D98" s="55" t="s">
        <v>70</v>
      </c>
      <c r="E98" s="57">
        <f>'[1]附表C-6营造林工程投资概算'!$D$17</f>
        <v>0</v>
      </c>
      <c r="F98" s="59">
        <f>ROUND(E98*('[1]附表C-2营造林技术经济指标表'!$N$116+'[1]附表C-2营造林技术经济指标表'!$N$118+'[1]附表C-2营造林技术经济指标表'!$N$120+'[1]附表C-2营造林技术经济指标表'!$N$124+'[1]附表C-2营造林技术经济指标表'!$N$126),2)</f>
        <v>0</v>
      </c>
      <c r="G98" s="57">
        <f>ROUND(E98*'[1]附表C-2营造林技术经济指标表'!$N$20,2)</f>
        <v>0</v>
      </c>
      <c r="H98" s="57" t="s">
        <v>0</v>
      </c>
      <c r="I98" s="57" t="s">
        <v>8</v>
      </c>
      <c r="J98" s="57" t="s">
        <v>8</v>
      </c>
      <c r="K98" s="57">
        <f t="shared" ref="K98:K102" si="1">SUM(F98:J98)</f>
        <v>0</v>
      </c>
    </row>
    <row r="99" ht="19.95" hidden="1" customHeight="1" spans="1:11">
      <c r="A99" s="55" t="s">
        <v>73</v>
      </c>
      <c r="B99" s="55" t="s">
        <v>506</v>
      </c>
      <c r="C99" s="56" t="s">
        <v>93</v>
      </c>
      <c r="D99" s="55" t="s">
        <v>70</v>
      </c>
      <c r="E99" s="57">
        <f>'[1]附表C-6营造林工程投资概算'!$D$17</f>
        <v>0</v>
      </c>
      <c r="F99" s="59">
        <f>ROUND(E99*'[1]附表C-2营造林技术经济指标表'!$N$122,2)</f>
        <v>0</v>
      </c>
      <c r="G99" s="57">
        <f>ROUND(E99*'[1]附表C-2营造林技术经济指标表'!$N$84,2)</f>
        <v>0</v>
      </c>
      <c r="H99" s="57" t="s">
        <v>0</v>
      </c>
      <c r="I99" s="57" t="s">
        <v>8</v>
      </c>
      <c r="J99" s="57" t="s">
        <v>8</v>
      </c>
      <c r="K99" s="57">
        <f t="shared" si="1"/>
        <v>0</v>
      </c>
    </row>
    <row r="100" ht="19.95" hidden="1" customHeight="1" spans="1:11">
      <c r="A100" s="55" t="s">
        <v>94</v>
      </c>
      <c r="B100" s="55" t="s">
        <v>507</v>
      </c>
      <c r="C100" s="56" t="s">
        <v>99</v>
      </c>
      <c r="D100" s="55" t="s">
        <v>70</v>
      </c>
      <c r="E100" s="57">
        <f>'[1]附表C-6营造林工程投资概算'!$D$17</f>
        <v>0</v>
      </c>
      <c r="F100" s="59">
        <f>ROUND(E100*'[1]附表C-2营造林技术经济指标表'!$N$136,2)</f>
        <v>0</v>
      </c>
      <c r="G100" s="57">
        <f>ROUND(E100*'[1]附表C-2营造林技术经济指标表'!$N$93,2)</f>
        <v>0</v>
      </c>
      <c r="H100" s="57" t="s">
        <v>0</v>
      </c>
      <c r="I100" s="57" t="s">
        <v>8</v>
      </c>
      <c r="J100" s="57" t="s">
        <v>8</v>
      </c>
      <c r="K100" s="57">
        <f t="shared" si="1"/>
        <v>0</v>
      </c>
    </row>
    <row r="101" ht="19.95" hidden="1" customHeight="1" spans="1:11">
      <c r="A101" s="55" t="s">
        <v>96</v>
      </c>
      <c r="B101" s="55" t="s">
        <v>508</v>
      </c>
      <c r="C101" s="56" t="s">
        <v>101</v>
      </c>
      <c r="D101" s="55" t="s">
        <v>70</v>
      </c>
      <c r="E101" s="57">
        <f>'[1]附表C-6营造林工程投资概算'!$D$17</f>
        <v>0</v>
      </c>
      <c r="F101" s="59">
        <f>ROUND(E101*'[1]附表C-2营造林技术经济指标表'!$N$142,2)</f>
        <v>0</v>
      </c>
      <c r="G101" s="57">
        <f>ROUND(E101*'[1]附表C-2营造林技术经济指标表'!$N$158,2)</f>
        <v>0</v>
      </c>
      <c r="H101" s="57" t="s">
        <v>0</v>
      </c>
      <c r="I101" s="57" t="s">
        <v>8</v>
      </c>
      <c r="J101" s="57" t="s">
        <v>8</v>
      </c>
      <c r="K101" s="57">
        <f t="shared" si="1"/>
        <v>0</v>
      </c>
    </row>
    <row r="102" ht="19.95" hidden="1" customHeight="1" spans="1:11">
      <c r="A102" s="55" t="s">
        <v>98</v>
      </c>
      <c r="B102" s="55" t="s">
        <v>509</v>
      </c>
      <c r="C102" s="56" t="s">
        <v>172</v>
      </c>
      <c r="D102" s="55" t="s">
        <v>70</v>
      </c>
      <c r="E102" s="57">
        <f>'[1]附表C-6营造林工程投资概算'!$D$17</f>
        <v>0</v>
      </c>
      <c r="F102" s="59">
        <f>ROUND(E102*('[1]附表C-2营造林技术经济指标表'!$N$128+'[1]附表C-2营造林技术经济指标表'!$N$138+'[1]附表C-2营造林技术经济指标表'!$N$140),2)</f>
        <v>0</v>
      </c>
      <c r="G102" s="57" t="s">
        <v>0</v>
      </c>
      <c r="H102" s="57" t="s">
        <v>0</v>
      </c>
      <c r="I102" s="57" t="s">
        <v>8</v>
      </c>
      <c r="J102" s="57" t="s">
        <v>8</v>
      </c>
      <c r="K102" s="57">
        <f t="shared" si="1"/>
        <v>0</v>
      </c>
    </row>
    <row r="103" ht="19.95" hidden="1" customHeight="1" spans="1:11">
      <c r="A103" s="55" t="s">
        <v>100</v>
      </c>
      <c r="B103" s="55" t="s">
        <v>510</v>
      </c>
      <c r="C103" s="56" t="s">
        <v>95</v>
      </c>
      <c r="D103" s="55" t="s">
        <v>70</v>
      </c>
      <c r="E103" s="57">
        <f>'[1]附表C-6营造林工程投资概算'!$D$17</f>
        <v>0</v>
      </c>
      <c r="F103" s="59"/>
      <c r="G103" s="59">
        <f>ROUND(E103*'[1]附表C-2营造林技术经济指标表'!$N$161,2)</f>
        <v>0</v>
      </c>
      <c r="H103" s="57"/>
      <c r="I103" s="57"/>
      <c r="J103" s="57"/>
      <c r="K103" s="57"/>
    </row>
    <row r="104" ht="19.95" hidden="1" customHeight="1" spans="1:11">
      <c r="A104" s="55" t="s">
        <v>102</v>
      </c>
      <c r="B104" s="55" t="s">
        <v>511</v>
      </c>
      <c r="C104" s="56" t="s">
        <v>105</v>
      </c>
      <c r="D104" s="55" t="s">
        <v>70</v>
      </c>
      <c r="E104" s="57">
        <f>'[1]附表C-6营造林工程投资概算'!$D$17</f>
        <v>0</v>
      </c>
      <c r="F104" s="59">
        <f>ROUND(E104*'[1]附表C-2营造林技术经济指标表'!$N$144,2)</f>
        <v>0</v>
      </c>
      <c r="G104" s="57" t="s">
        <v>0</v>
      </c>
      <c r="H104" s="57" t="s">
        <v>0</v>
      </c>
      <c r="I104" s="57" t="s">
        <v>8</v>
      </c>
      <c r="J104" s="57" t="s">
        <v>8</v>
      </c>
      <c r="K104" s="57">
        <f t="shared" ref="K104:K105" si="2">SUM(F104:J104)</f>
        <v>0</v>
      </c>
    </row>
    <row r="105" ht="19.95" hidden="1" customHeight="1" spans="1:13">
      <c r="A105" s="55" t="s">
        <v>8</v>
      </c>
      <c r="B105" s="55" t="s">
        <v>8</v>
      </c>
      <c r="C105" s="55" t="s">
        <v>106</v>
      </c>
      <c r="D105" s="55" t="s">
        <v>8</v>
      </c>
      <c r="E105" s="57" t="s">
        <v>8</v>
      </c>
      <c r="F105" s="59">
        <f>SUM(F97:F104)</f>
        <v>0</v>
      </c>
      <c r="G105" s="59">
        <f>SUM(G97:G104)</f>
        <v>0</v>
      </c>
      <c r="H105" s="44" t="s">
        <v>0</v>
      </c>
      <c r="I105" s="57" t="s">
        <v>8</v>
      </c>
      <c r="J105" s="57" t="s">
        <v>8</v>
      </c>
      <c r="K105" s="57">
        <f t="shared" si="2"/>
        <v>0</v>
      </c>
      <c r="M105" s="1" t="e">
        <f>K105/E104</f>
        <v>#DIV/0!</v>
      </c>
    </row>
    <row r="106" ht="155.4" hidden="1" customHeight="1" spans="1:1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</row>
    <row r="107" hidden="1" spans="1:11">
      <c r="A107" s="17" t="s">
        <v>0</v>
      </c>
      <c r="B107" s="17" t="s">
        <v>0</v>
      </c>
      <c r="C107" s="17" t="s">
        <v>0</v>
      </c>
      <c r="D107" s="17" t="s">
        <v>0</v>
      </c>
      <c r="E107" s="17" t="s">
        <v>0</v>
      </c>
      <c r="F107" s="17" t="s">
        <v>0</v>
      </c>
      <c r="G107" s="28" t="s">
        <v>512</v>
      </c>
      <c r="H107" s="28" t="s">
        <v>0</v>
      </c>
      <c r="I107" s="28" t="s">
        <v>0</v>
      </c>
      <c r="J107" s="28" t="s">
        <v>0</v>
      </c>
      <c r="K107" s="28" t="s">
        <v>0</v>
      </c>
    </row>
    <row r="108" hidden="1"/>
    <row r="109" hidden="1"/>
  </sheetData>
  <mergeCells count="126">
    <mergeCell ref="A1:B1"/>
    <mergeCell ref="C1:I1"/>
    <mergeCell ref="J1:K1"/>
    <mergeCell ref="A2:K2"/>
    <mergeCell ref="A3:B3"/>
    <mergeCell ref="C3:I3"/>
    <mergeCell ref="J3:K3"/>
    <mergeCell ref="A4:B4"/>
    <mergeCell ref="C4:I4"/>
    <mergeCell ref="J4:K4"/>
    <mergeCell ref="A5:B5"/>
    <mergeCell ref="C5:I5"/>
    <mergeCell ref="J5:K5"/>
    <mergeCell ref="F6:K6"/>
    <mergeCell ref="A17:F17"/>
    <mergeCell ref="G17:K17"/>
    <mergeCell ref="A18:B18"/>
    <mergeCell ref="C18:I18"/>
    <mergeCell ref="J18:K18"/>
    <mergeCell ref="A19:K19"/>
    <mergeCell ref="A20:B20"/>
    <mergeCell ref="C20:I20"/>
    <mergeCell ref="J20:K20"/>
    <mergeCell ref="A21:B21"/>
    <mergeCell ref="C21:I21"/>
    <mergeCell ref="J21:K21"/>
    <mergeCell ref="A22:B22"/>
    <mergeCell ref="C22:I22"/>
    <mergeCell ref="J22:K22"/>
    <mergeCell ref="F23:K23"/>
    <mergeCell ref="A34:F34"/>
    <mergeCell ref="G34:K34"/>
    <mergeCell ref="A36:B36"/>
    <mergeCell ref="C36:I36"/>
    <mergeCell ref="J36:K36"/>
    <mergeCell ref="A37:K37"/>
    <mergeCell ref="A38:B38"/>
    <mergeCell ref="C38:I38"/>
    <mergeCell ref="J38:K38"/>
    <mergeCell ref="A39:B39"/>
    <mergeCell ref="C39:I39"/>
    <mergeCell ref="J39:K39"/>
    <mergeCell ref="A40:B40"/>
    <mergeCell ref="C40:I40"/>
    <mergeCell ref="J40:K40"/>
    <mergeCell ref="F41:K41"/>
    <mergeCell ref="A53:F53"/>
    <mergeCell ref="G53:K53"/>
    <mergeCell ref="A54:B54"/>
    <mergeCell ref="C54:I54"/>
    <mergeCell ref="J54:K54"/>
    <mergeCell ref="A55:K55"/>
    <mergeCell ref="A56:B56"/>
    <mergeCell ref="C56:I56"/>
    <mergeCell ref="J56:K56"/>
    <mergeCell ref="A57:B57"/>
    <mergeCell ref="C57:I57"/>
    <mergeCell ref="J57:K57"/>
    <mergeCell ref="A58:B58"/>
    <mergeCell ref="C58:I58"/>
    <mergeCell ref="J58:K58"/>
    <mergeCell ref="F59:K59"/>
    <mergeCell ref="A71:F71"/>
    <mergeCell ref="G71:K71"/>
    <mergeCell ref="A72:B72"/>
    <mergeCell ref="C72:I72"/>
    <mergeCell ref="J72:K72"/>
    <mergeCell ref="A73:K73"/>
    <mergeCell ref="A74:B74"/>
    <mergeCell ref="C74:I74"/>
    <mergeCell ref="J74:K74"/>
    <mergeCell ref="A75:B75"/>
    <mergeCell ref="C75:I75"/>
    <mergeCell ref="J75:K75"/>
    <mergeCell ref="A76:B76"/>
    <mergeCell ref="C76:I76"/>
    <mergeCell ref="J76:K76"/>
    <mergeCell ref="F77:K77"/>
    <mergeCell ref="A89:F89"/>
    <mergeCell ref="G89:K89"/>
    <mergeCell ref="A90:B90"/>
    <mergeCell ref="C90:I90"/>
    <mergeCell ref="J90:K90"/>
    <mergeCell ref="A91:K91"/>
    <mergeCell ref="A92:B92"/>
    <mergeCell ref="C92:I92"/>
    <mergeCell ref="J92:K92"/>
    <mergeCell ref="A93:B93"/>
    <mergeCell ref="C93:I93"/>
    <mergeCell ref="J93:K93"/>
    <mergeCell ref="A94:B94"/>
    <mergeCell ref="C94:I94"/>
    <mergeCell ref="J94:K94"/>
    <mergeCell ref="F95:K95"/>
    <mergeCell ref="A107:F107"/>
    <mergeCell ref="G107:K107"/>
    <mergeCell ref="A6:A7"/>
    <mergeCell ref="A23:A24"/>
    <mergeCell ref="A41:A42"/>
    <mergeCell ref="A59:A60"/>
    <mergeCell ref="A77:A78"/>
    <mergeCell ref="A95:A96"/>
    <mergeCell ref="B6:B7"/>
    <mergeCell ref="B23:B24"/>
    <mergeCell ref="B41:B42"/>
    <mergeCell ref="B59:B60"/>
    <mergeCell ref="B77:B78"/>
    <mergeCell ref="B95:B96"/>
    <mergeCell ref="C6:C7"/>
    <mergeCell ref="C23:C24"/>
    <mergeCell ref="C41:C42"/>
    <mergeCell ref="C59:C60"/>
    <mergeCell ref="C77:C78"/>
    <mergeCell ref="C95:C96"/>
    <mergeCell ref="D6:D7"/>
    <mergeCell ref="D23:D24"/>
    <mergeCell ref="D41:D42"/>
    <mergeCell ref="D59:D60"/>
    <mergeCell ref="D77:D78"/>
    <mergeCell ref="D95:D96"/>
    <mergeCell ref="E6:E7"/>
    <mergeCell ref="E23:E24"/>
    <mergeCell ref="E41:E42"/>
    <mergeCell ref="E59:E60"/>
    <mergeCell ref="E77:E78"/>
    <mergeCell ref="E95:E9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4"/>
  <sheetViews>
    <sheetView showZeros="0" workbookViewId="0">
      <selection activeCell="F268" sqref="F268:K268"/>
    </sheetView>
  </sheetViews>
  <sheetFormatPr defaultColWidth="8.88888888888889" defaultRowHeight="14.4"/>
  <cols>
    <col min="1" max="1" width="8.88888888888889" style="1"/>
    <col min="2" max="2" width="13.4444444444444" style="1" customWidth="1"/>
    <col min="3" max="3" width="28.787037037037" style="1" customWidth="1"/>
    <col min="4" max="4" width="8.88888888888889" style="1"/>
    <col min="5" max="5" width="9.33333333333333" style="1" customWidth="1"/>
    <col min="6" max="6" width="11.787037037037" style="1" customWidth="1"/>
    <col min="7" max="7" width="10.212962962963" style="1" customWidth="1"/>
    <col min="8" max="8" width="8.88888888888889" style="1"/>
    <col min="9" max="9" width="9.44444444444444" style="1"/>
    <col min="10" max="10" width="10.8888888888889" style="1" customWidth="1"/>
    <col min="11" max="11" width="10.212962962963" style="1" customWidth="1"/>
    <col min="12" max="12" width="8.88888888888889" style="1"/>
    <col min="13" max="13" width="12.8888888888889" style="1"/>
    <col min="14" max="16384" width="8.88888888888889" style="1"/>
  </cols>
  <sheetData>
    <row r="1" ht="26.4" customHeight="1" spans="1:11">
      <c r="A1" s="41" t="s">
        <v>0</v>
      </c>
      <c r="B1" s="41" t="s">
        <v>0</v>
      </c>
      <c r="C1" s="42" t="s">
        <v>77</v>
      </c>
      <c r="D1" s="42" t="s">
        <v>0</v>
      </c>
      <c r="E1" s="42" t="s">
        <v>0</v>
      </c>
      <c r="F1" s="42" t="s">
        <v>0</v>
      </c>
      <c r="G1" s="42" t="s">
        <v>0</v>
      </c>
      <c r="H1" s="42" t="s">
        <v>0</v>
      </c>
      <c r="I1" s="42" t="s">
        <v>0</v>
      </c>
      <c r="J1" s="49" t="s">
        <v>513</v>
      </c>
      <c r="K1" s="49" t="s">
        <v>0</v>
      </c>
    </row>
    <row r="2" spans="1:11">
      <c r="A2" s="43" t="s">
        <v>79</v>
      </c>
      <c r="B2" s="43" t="s">
        <v>0</v>
      </c>
      <c r="C2" s="43" t="s">
        <v>0</v>
      </c>
      <c r="D2" s="43" t="s">
        <v>0</v>
      </c>
      <c r="E2" s="43" t="s">
        <v>0</v>
      </c>
      <c r="F2" s="43" t="s">
        <v>0</v>
      </c>
      <c r="G2" s="43" t="s">
        <v>0</v>
      </c>
      <c r="H2" s="43" t="s">
        <v>0</v>
      </c>
      <c r="I2" s="43" t="s">
        <v>0</v>
      </c>
      <c r="J2" s="43" t="s">
        <v>0</v>
      </c>
      <c r="K2" s="43" t="s">
        <v>0</v>
      </c>
    </row>
    <row r="3" spans="1:11">
      <c r="A3" s="28" t="s">
        <v>22</v>
      </c>
      <c r="B3" s="28" t="s">
        <v>0</v>
      </c>
      <c r="C3" s="17" t="s">
        <v>448</v>
      </c>
      <c r="D3" s="17" t="s">
        <v>0</v>
      </c>
      <c r="E3" s="17" t="s">
        <v>0</v>
      </c>
      <c r="F3" s="17" t="s">
        <v>0</v>
      </c>
      <c r="G3" s="17" t="s">
        <v>0</v>
      </c>
      <c r="H3" s="17" t="s">
        <v>0</v>
      </c>
      <c r="I3" s="17" t="s">
        <v>0</v>
      </c>
      <c r="J3" s="17" t="s">
        <v>81</v>
      </c>
      <c r="K3" s="17" t="s">
        <v>0</v>
      </c>
    </row>
    <row r="4" spans="1:11">
      <c r="A4" s="28" t="s">
        <v>82</v>
      </c>
      <c r="B4" s="28" t="s">
        <v>0</v>
      </c>
      <c r="C4" s="17" t="s">
        <v>449</v>
      </c>
      <c r="D4" s="17" t="s">
        <v>0</v>
      </c>
      <c r="E4" s="17" t="s">
        <v>0</v>
      </c>
      <c r="F4" s="17" t="s">
        <v>0</v>
      </c>
      <c r="G4" s="17" t="s">
        <v>0</v>
      </c>
      <c r="H4" s="17" t="s">
        <v>0</v>
      </c>
      <c r="I4" s="17" t="s">
        <v>0</v>
      </c>
      <c r="J4" s="17" t="str">
        <f>"工程数量："&amp;'[1]附表C-6营造林工程投资概算'!$D$12</f>
        <v>工程数量：1326.2</v>
      </c>
      <c r="K4" s="17" t="s">
        <v>0</v>
      </c>
    </row>
    <row r="5" spans="1:11">
      <c r="A5" s="28" t="s">
        <v>84</v>
      </c>
      <c r="B5" s="28" t="s">
        <v>0</v>
      </c>
      <c r="C5" s="17" t="s">
        <v>450</v>
      </c>
      <c r="D5" s="17" t="s">
        <v>0</v>
      </c>
      <c r="E5" s="17" t="s">
        <v>0</v>
      </c>
      <c r="F5" s="17" t="s">
        <v>0</v>
      </c>
      <c r="G5" s="17" t="s">
        <v>0</v>
      </c>
      <c r="H5" s="17" t="s">
        <v>0</v>
      </c>
      <c r="I5" s="17" t="s">
        <v>0</v>
      </c>
      <c r="J5" s="17" t="str">
        <f>"综合单价："&amp;$M$52&amp;"元 "</f>
        <v>综合单价：1090.65元 </v>
      </c>
      <c r="K5" s="17" t="s">
        <v>0</v>
      </c>
    </row>
    <row r="6" spans="1:11">
      <c r="A6" s="44" t="s">
        <v>28</v>
      </c>
      <c r="B6" s="44" t="s">
        <v>86</v>
      </c>
      <c r="C6" s="44" t="s">
        <v>87</v>
      </c>
      <c r="D6" s="44" t="s">
        <v>57</v>
      </c>
      <c r="E6" s="44" t="s">
        <v>88</v>
      </c>
      <c r="F6" s="44" t="s">
        <v>89</v>
      </c>
      <c r="G6" s="44" t="s">
        <v>0</v>
      </c>
      <c r="H6" s="44" t="s">
        <v>0</v>
      </c>
      <c r="I6" s="44" t="s">
        <v>0</v>
      </c>
      <c r="J6" s="44" t="s">
        <v>0</v>
      </c>
      <c r="K6" s="44" t="s">
        <v>0</v>
      </c>
    </row>
    <row r="7" spans="1:11">
      <c r="A7" s="44" t="s">
        <v>0</v>
      </c>
      <c r="B7" s="44" t="s">
        <v>0</v>
      </c>
      <c r="C7" s="44" t="s">
        <v>0</v>
      </c>
      <c r="D7" s="44" t="s">
        <v>0</v>
      </c>
      <c r="E7" s="44" t="s">
        <v>0</v>
      </c>
      <c r="F7" s="45" t="s">
        <v>63</v>
      </c>
      <c r="G7" s="44" t="s">
        <v>64</v>
      </c>
      <c r="H7" s="44" t="s">
        <v>65</v>
      </c>
      <c r="I7" s="44" t="s">
        <v>66</v>
      </c>
      <c r="J7" s="44" t="s">
        <v>67</v>
      </c>
      <c r="K7" s="44" t="s">
        <v>90</v>
      </c>
    </row>
    <row r="8" spans="1:11">
      <c r="A8" s="44" t="s">
        <v>68</v>
      </c>
      <c r="B8" s="44" t="s">
        <v>451</v>
      </c>
      <c r="C8" s="44" t="s">
        <v>363</v>
      </c>
      <c r="D8" s="44" t="s">
        <v>70</v>
      </c>
      <c r="E8" s="44">
        <f>'[1]附表C-6营造林工程投资概算'!$D$12</f>
        <v>1326.2</v>
      </c>
      <c r="F8" s="46">
        <f>SUM(F9:F15)</f>
        <v>1351796.03613</v>
      </c>
      <c r="G8" s="47" t="s">
        <v>0</v>
      </c>
      <c r="H8" s="47" t="s">
        <v>0</v>
      </c>
      <c r="I8" s="47">
        <f>SUM(I9:I15)</f>
        <v>27035.94</v>
      </c>
      <c r="J8" s="47">
        <f>SUM(J9:J15)</f>
        <v>67589.8</v>
      </c>
      <c r="K8" s="47">
        <f>SUM(F8:J8)</f>
        <v>1446421.77613</v>
      </c>
    </row>
    <row r="9" spans="1:11">
      <c r="A9" s="44" t="s">
        <v>71</v>
      </c>
      <c r="B9" s="44"/>
      <c r="C9" s="10" t="s">
        <v>364</v>
      </c>
      <c r="D9" s="44" t="s">
        <v>137</v>
      </c>
      <c r="E9" s="44">
        <f>ROUND(E8*'[1]附表C-2营造林技术经济指标表'!$I$8,2)</f>
        <v>623.31</v>
      </c>
      <c r="F9" s="48">
        <v>115542.47115</v>
      </c>
      <c r="G9" s="47"/>
      <c r="H9" s="47"/>
      <c r="I9" s="47">
        <f t="shared" ref="I9:I15" si="0">ROUND(F9*0.02,2)</f>
        <v>2310.85</v>
      </c>
      <c r="J9" s="47">
        <f t="shared" ref="J9:J15" si="1">ROUND(F9*0.05,2)</f>
        <v>5777.12</v>
      </c>
      <c r="K9" s="47"/>
    </row>
    <row r="10" spans="1:11">
      <c r="A10" s="44" t="s">
        <v>73</v>
      </c>
      <c r="B10" s="44"/>
      <c r="C10" s="10" t="s">
        <v>365</v>
      </c>
      <c r="D10" s="44" t="s">
        <v>137</v>
      </c>
      <c r="E10" s="44">
        <f>ROUND(E8*'[1]附表C-2营造林技术经济指标表'!$I$9,2)</f>
        <v>225.45</v>
      </c>
      <c r="F10" s="48">
        <v>41791.95867</v>
      </c>
      <c r="G10" s="47"/>
      <c r="H10" s="47"/>
      <c r="I10" s="47">
        <f t="shared" si="0"/>
        <v>835.84</v>
      </c>
      <c r="J10" s="47">
        <f t="shared" si="1"/>
        <v>2089.6</v>
      </c>
      <c r="K10" s="47"/>
    </row>
    <row r="11" spans="1:11">
      <c r="A11" s="44" t="s">
        <v>94</v>
      </c>
      <c r="B11" s="44" t="s">
        <v>8</v>
      </c>
      <c r="C11" s="10" t="s">
        <v>366</v>
      </c>
      <c r="D11" s="44" t="s">
        <v>137</v>
      </c>
      <c r="E11" s="44">
        <f>ROUND(E8*'[1]附表C-2营造林技术经济指标表'!$I$10,2)</f>
        <v>1014.54</v>
      </c>
      <c r="F11" s="48">
        <v>188063.81002</v>
      </c>
      <c r="G11" s="47" t="s">
        <v>8</v>
      </c>
      <c r="H11" s="47" t="s">
        <v>8</v>
      </c>
      <c r="I11" s="47">
        <f t="shared" si="0"/>
        <v>3761.28</v>
      </c>
      <c r="J11" s="47">
        <f t="shared" si="1"/>
        <v>9403.19</v>
      </c>
      <c r="K11" s="47" t="s">
        <v>8</v>
      </c>
    </row>
    <row r="12" spans="1:11">
      <c r="A12" s="44" t="s">
        <v>96</v>
      </c>
      <c r="B12" s="44" t="s">
        <v>8</v>
      </c>
      <c r="C12" s="10" t="s">
        <v>367</v>
      </c>
      <c r="D12" s="44" t="s">
        <v>137</v>
      </c>
      <c r="E12" s="44">
        <f>ROUND(E8*'[1]附表C-2营造林技术经济指标表'!$I$11,2)</f>
        <v>3521.06</v>
      </c>
      <c r="F12" s="48">
        <v>360105.95219</v>
      </c>
      <c r="G12" s="47" t="s">
        <v>8</v>
      </c>
      <c r="H12" s="47" t="s">
        <v>8</v>
      </c>
      <c r="I12" s="47">
        <f t="shared" si="0"/>
        <v>7202.12</v>
      </c>
      <c r="J12" s="47">
        <f t="shared" si="1"/>
        <v>18005.3</v>
      </c>
      <c r="K12" s="47" t="s">
        <v>8</v>
      </c>
    </row>
    <row r="13" spans="1:11">
      <c r="A13" s="44" t="s">
        <v>98</v>
      </c>
      <c r="B13" s="44" t="s">
        <v>8</v>
      </c>
      <c r="C13" s="10" t="s">
        <v>384</v>
      </c>
      <c r="D13" s="44" t="s">
        <v>137</v>
      </c>
      <c r="E13" s="44">
        <f>ROUND(E8*'[1]附表C-2营造林技术经济指标表'!$I$12,2)</f>
        <v>1591.44</v>
      </c>
      <c r="F13" s="48">
        <v>162759.75168</v>
      </c>
      <c r="G13" s="47" t="s">
        <v>8</v>
      </c>
      <c r="H13" s="47" t="s">
        <v>8</v>
      </c>
      <c r="I13" s="47">
        <f t="shared" si="0"/>
        <v>3255.2</v>
      </c>
      <c r="J13" s="47">
        <f t="shared" si="1"/>
        <v>8137.99</v>
      </c>
      <c r="K13" s="47" t="s">
        <v>8</v>
      </c>
    </row>
    <row r="14" spans="1:11">
      <c r="A14" s="44" t="s">
        <v>100</v>
      </c>
      <c r="B14" s="44" t="s">
        <v>8</v>
      </c>
      <c r="C14" s="10" t="s">
        <v>385</v>
      </c>
      <c r="D14" s="44" t="s">
        <v>137</v>
      </c>
      <c r="E14" s="44">
        <f>ROUND(E8*'[1]附表C-2营造林技术经济指标表'!$I$13,2)</f>
        <v>3235.93</v>
      </c>
      <c r="F14" s="48">
        <v>330944.82522</v>
      </c>
      <c r="G14" s="47" t="s">
        <v>8</v>
      </c>
      <c r="H14" s="47" t="s">
        <v>8</v>
      </c>
      <c r="I14" s="47">
        <f t="shared" si="0"/>
        <v>6618.9</v>
      </c>
      <c r="J14" s="47">
        <f t="shared" si="1"/>
        <v>16547.24</v>
      </c>
      <c r="K14" s="47" t="s">
        <v>8</v>
      </c>
    </row>
    <row r="15" spans="1:11">
      <c r="A15" s="44" t="s">
        <v>102</v>
      </c>
      <c r="B15" s="44" t="s">
        <v>8</v>
      </c>
      <c r="C15" s="10" t="s">
        <v>386</v>
      </c>
      <c r="D15" s="44" t="s">
        <v>137</v>
      </c>
      <c r="E15" s="44">
        <f>ROUND(E8*'[1]附表C-2营造林技术经济指标表'!$I$14,2)</f>
        <v>1491.98</v>
      </c>
      <c r="F15" s="48">
        <v>152587.2672</v>
      </c>
      <c r="G15" s="47" t="s">
        <v>8</v>
      </c>
      <c r="H15" s="47" t="s">
        <v>8</v>
      </c>
      <c r="I15" s="47">
        <f t="shared" si="0"/>
        <v>3051.75</v>
      </c>
      <c r="J15" s="47">
        <f t="shared" si="1"/>
        <v>7629.36</v>
      </c>
      <c r="K15" s="47" t="s">
        <v>8</v>
      </c>
    </row>
    <row r="16" spans="1:11">
      <c r="A16" s="44" t="s">
        <v>104</v>
      </c>
      <c r="B16" s="44" t="s">
        <v>452</v>
      </c>
      <c r="C16" s="10" t="s">
        <v>453</v>
      </c>
      <c r="D16" s="44" t="s">
        <v>70</v>
      </c>
      <c r="E16" s="44">
        <f>E8</f>
        <v>1326.2</v>
      </c>
      <c r="F16" s="46"/>
      <c r="G16" s="46"/>
      <c r="H16" s="46"/>
      <c r="I16" s="46"/>
      <c r="J16" s="46"/>
      <c r="K16" s="47"/>
    </row>
    <row r="17" spans="1:11">
      <c r="A17" s="44" t="s">
        <v>306</v>
      </c>
      <c r="B17" s="44" t="s">
        <v>8</v>
      </c>
      <c r="C17" s="10" t="s">
        <v>91</v>
      </c>
      <c r="D17" s="44" t="s">
        <v>137</v>
      </c>
      <c r="E17" s="44">
        <f>ROUND(E16*'[1]附表C-2营造林技术经济指标表'!$I$115,2)</f>
        <v>159.14</v>
      </c>
      <c r="F17" s="45"/>
      <c r="G17" s="44"/>
      <c r="H17" s="44"/>
      <c r="I17" s="44"/>
      <c r="J17" s="44"/>
      <c r="K17" s="44"/>
    </row>
    <row r="18" spans="1:11">
      <c r="A18" s="44" t="s">
        <v>146</v>
      </c>
      <c r="B18" s="44" t="s">
        <v>8</v>
      </c>
      <c r="C18" s="10" t="s">
        <v>92</v>
      </c>
      <c r="D18" s="44" t="s">
        <v>137</v>
      </c>
      <c r="E18" s="44">
        <f>ROUND(E16*'[1]附表C-2营造林技术经济指标表'!$I$117,2)</f>
        <v>428.36</v>
      </c>
      <c r="F18" s="45"/>
      <c r="G18" s="44"/>
      <c r="H18" s="44"/>
      <c r="I18" s="44"/>
      <c r="J18" s="44"/>
      <c r="K18" s="44"/>
    </row>
    <row r="19" spans="1:11">
      <c r="A19" s="44" t="s">
        <v>149</v>
      </c>
      <c r="B19" s="44" t="s">
        <v>8</v>
      </c>
      <c r="C19" s="10" t="s">
        <v>514</v>
      </c>
      <c r="D19" s="44" t="s">
        <v>137</v>
      </c>
      <c r="E19" s="44">
        <f>ROUND(E16*('[1]附表C-2营造林技术经济指标表'!$I$123+'[1]附表C-2营造林技术经济指标表'!$I$125),2)</f>
        <v>712.83</v>
      </c>
      <c r="F19" s="45"/>
      <c r="G19" s="44"/>
      <c r="H19" s="44"/>
      <c r="I19" s="44"/>
      <c r="J19" s="44"/>
      <c r="K19" s="44"/>
    </row>
    <row r="20" spans="1:11">
      <c r="A20" s="44" t="s">
        <v>152</v>
      </c>
      <c r="B20" s="44" t="s">
        <v>8</v>
      </c>
      <c r="C20" s="10" t="s">
        <v>515</v>
      </c>
      <c r="D20" s="44" t="s">
        <v>156</v>
      </c>
      <c r="E20" s="44">
        <f>ROUND(E16*'[1]附表C-2营造林技术经济指标表'!$I$16,2)</f>
        <v>39786</v>
      </c>
      <c r="F20" s="45"/>
      <c r="G20" s="44"/>
      <c r="H20" s="44"/>
      <c r="I20" s="44"/>
      <c r="J20" s="44"/>
      <c r="K20" s="44"/>
    </row>
    <row r="21" spans="1:11">
      <c r="A21" s="44" t="s">
        <v>154</v>
      </c>
      <c r="B21" s="44" t="s">
        <v>8</v>
      </c>
      <c r="C21" s="10" t="s">
        <v>516</v>
      </c>
      <c r="D21" s="44" t="s">
        <v>156</v>
      </c>
      <c r="E21" s="44">
        <f>ROUND(E16*'[1]附表C-2营造林技术经济指标表'!$I$17,2)</f>
        <v>3978.6</v>
      </c>
      <c r="F21" s="45"/>
      <c r="G21" s="44"/>
      <c r="H21" s="44"/>
      <c r="I21" s="44"/>
      <c r="J21" s="44"/>
      <c r="K21" s="44"/>
    </row>
    <row r="22" spans="1:11">
      <c r="A22" s="44" t="s">
        <v>157</v>
      </c>
      <c r="B22" s="44" t="s">
        <v>8</v>
      </c>
      <c r="C22" s="10" t="s">
        <v>517</v>
      </c>
      <c r="D22" s="44" t="s">
        <v>156</v>
      </c>
      <c r="E22" s="44">
        <f>E20+E21</f>
        <v>43764.6</v>
      </c>
      <c r="F22" s="45"/>
      <c r="G22" s="44"/>
      <c r="H22" s="44"/>
      <c r="I22" s="44"/>
      <c r="J22" s="44"/>
      <c r="K22" s="44"/>
    </row>
    <row r="23" spans="1:11">
      <c r="A23" s="44" t="s">
        <v>313</v>
      </c>
      <c r="B23" s="44" t="s">
        <v>8</v>
      </c>
      <c r="C23" s="10" t="s">
        <v>518</v>
      </c>
      <c r="D23" s="44" t="s">
        <v>137</v>
      </c>
      <c r="E23" s="44">
        <f>ROUND(E16*'[1]附表C-2营造林技术经济指标表'!$I$119,2)</f>
        <v>145.88</v>
      </c>
      <c r="F23" s="45"/>
      <c r="G23" s="44"/>
      <c r="H23" s="44"/>
      <c r="I23" s="44"/>
      <c r="J23" s="44"/>
      <c r="K23" s="44"/>
    </row>
    <row r="24" spans="1:11">
      <c r="A24" s="44" t="s">
        <v>315</v>
      </c>
      <c r="B24" s="44" t="s">
        <v>454</v>
      </c>
      <c r="C24" s="10" t="s">
        <v>93</v>
      </c>
      <c r="D24" s="44" t="s">
        <v>70</v>
      </c>
      <c r="E24" s="44">
        <f>E8</f>
        <v>1326.2</v>
      </c>
      <c r="F24" s="45"/>
      <c r="G24" s="44"/>
      <c r="H24" s="44"/>
      <c r="I24" s="44"/>
      <c r="J24" s="44"/>
      <c r="K24" s="44"/>
    </row>
    <row r="25" spans="1:11">
      <c r="A25" s="44" t="s">
        <v>317</v>
      </c>
      <c r="B25" s="44" t="s">
        <v>8</v>
      </c>
      <c r="C25" s="10" t="s">
        <v>519</v>
      </c>
      <c r="D25" s="44" t="s">
        <v>142</v>
      </c>
      <c r="E25" s="44">
        <f>ROUND(E24*'[1]附表C-2营造林技术经济指标表'!$I$82*1000,2)</f>
        <v>39786</v>
      </c>
      <c r="F25" s="45"/>
      <c r="G25" s="44"/>
      <c r="H25" s="44"/>
      <c r="I25" s="44"/>
      <c r="J25" s="44"/>
      <c r="K25" s="44"/>
    </row>
    <row r="26" ht="123" customHeight="1" spans="1:1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customHeight="1" spans="1:11">
      <c r="A27" s="17" t="s">
        <v>0</v>
      </c>
      <c r="B27" s="17" t="s">
        <v>0</v>
      </c>
      <c r="C27" s="17" t="s">
        <v>0</v>
      </c>
      <c r="D27" s="17" t="s">
        <v>0</v>
      </c>
      <c r="E27" s="17" t="s">
        <v>0</v>
      </c>
      <c r="F27" s="17" t="s">
        <v>0</v>
      </c>
      <c r="G27" s="28"/>
      <c r="H27" s="28"/>
      <c r="I27" s="28"/>
      <c r="J27" s="28"/>
      <c r="K27" s="28"/>
    </row>
    <row r="28" ht="25.8" customHeight="1" spans="1:11">
      <c r="A28" s="41" t="s">
        <v>0</v>
      </c>
      <c r="B28" s="41" t="s">
        <v>0</v>
      </c>
      <c r="C28" s="42" t="s">
        <v>77</v>
      </c>
      <c r="D28" s="42" t="s">
        <v>0</v>
      </c>
      <c r="E28" s="42" t="s">
        <v>0</v>
      </c>
      <c r="F28" s="42" t="s">
        <v>0</v>
      </c>
      <c r="G28" s="42" t="s">
        <v>0</v>
      </c>
      <c r="H28" s="42" t="s">
        <v>0</v>
      </c>
      <c r="I28" s="42" t="s">
        <v>0</v>
      </c>
      <c r="J28" s="49" t="s">
        <v>520</v>
      </c>
      <c r="K28" s="49" t="s">
        <v>0</v>
      </c>
    </row>
    <row r="29" spans="1:11">
      <c r="A29" s="44" t="s">
        <v>319</v>
      </c>
      <c r="B29" s="44" t="s">
        <v>8</v>
      </c>
      <c r="C29" s="44" t="s">
        <v>143</v>
      </c>
      <c r="D29" s="44" t="s">
        <v>142</v>
      </c>
      <c r="E29" s="44">
        <f>ROUND(E24*'[1]附表C-2营造林技术经济指标表'!$I$82*1000,2)</f>
        <v>39786</v>
      </c>
      <c r="F29" s="45" t="s">
        <v>8</v>
      </c>
      <c r="G29" s="44" t="s">
        <v>8</v>
      </c>
      <c r="H29" s="44" t="s">
        <v>8</v>
      </c>
      <c r="I29" s="44" t="s">
        <v>8</v>
      </c>
      <c r="J29" s="44" t="s">
        <v>8</v>
      </c>
      <c r="K29" s="44" t="s">
        <v>8</v>
      </c>
    </row>
    <row r="30" spans="1:11">
      <c r="A30" s="44" t="s">
        <v>321</v>
      </c>
      <c r="B30" s="44" t="s">
        <v>8</v>
      </c>
      <c r="C30" s="44" t="s">
        <v>144</v>
      </c>
      <c r="D30" s="44" t="s">
        <v>137</v>
      </c>
      <c r="E30" s="44">
        <f>ROUND(E24*'[1]附表C-2营造林技术经济指标表'!$I$121,2)</f>
        <v>265.24</v>
      </c>
      <c r="F30" s="45"/>
      <c r="G30" s="44"/>
      <c r="H30" s="44"/>
      <c r="I30" s="44"/>
      <c r="J30" s="44"/>
      <c r="K30" s="44"/>
    </row>
    <row r="31" spans="1:11">
      <c r="A31" s="44" t="s">
        <v>323</v>
      </c>
      <c r="B31" s="44" t="s">
        <v>455</v>
      </c>
      <c r="C31" s="44" t="s">
        <v>99</v>
      </c>
      <c r="D31" s="44" t="s">
        <v>70</v>
      </c>
      <c r="E31" s="44">
        <f>E8</f>
        <v>1326.2</v>
      </c>
      <c r="F31" s="45"/>
      <c r="G31" s="44"/>
      <c r="H31" s="44"/>
      <c r="I31" s="44"/>
      <c r="J31" s="44"/>
      <c r="K31" s="44"/>
    </row>
    <row r="32" spans="1:11">
      <c r="A32" s="44" t="s">
        <v>327</v>
      </c>
      <c r="B32" s="44" t="s">
        <v>8</v>
      </c>
      <c r="C32" s="44" t="s">
        <v>519</v>
      </c>
      <c r="D32" s="44" t="s">
        <v>142</v>
      </c>
      <c r="E32" s="44">
        <f>ROUND(E31*'[1]附表C-2营造林技术经济指标表'!$I$91,2)</f>
        <v>59.68</v>
      </c>
      <c r="F32" s="45"/>
      <c r="G32" s="44"/>
      <c r="H32" s="44"/>
      <c r="I32" s="44"/>
      <c r="J32" s="44"/>
      <c r="K32" s="44"/>
    </row>
    <row r="33" spans="1:11">
      <c r="A33" s="44" t="s">
        <v>330</v>
      </c>
      <c r="B33" s="44" t="s">
        <v>8</v>
      </c>
      <c r="C33" s="44" t="s">
        <v>164</v>
      </c>
      <c r="D33" s="44" t="s">
        <v>142</v>
      </c>
      <c r="E33" s="44">
        <f>ROUND(E31*'[1]附表C-2营造林技术经济指标表'!$I$91,2)</f>
        <v>59.68</v>
      </c>
      <c r="F33" s="45"/>
      <c r="G33" s="44"/>
      <c r="H33" s="44"/>
      <c r="I33" s="44"/>
      <c r="J33" s="44"/>
      <c r="K33" s="44"/>
    </row>
    <row r="34" spans="1:11">
      <c r="A34" s="44" t="s">
        <v>333</v>
      </c>
      <c r="B34" s="44" t="s">
        <v>8</v>
      </c>
      <c r="C34" s="44" t="s">
        <v>165</v>
      </c>
      <c r="D34" s="44" t="s">
        <v>166</v>
      </c>
      <c r="E34" s="44">
        <v>3</v>
      </c>
      <c r="F34" s="45"/>
      <c r="G34" s="44"/>
      <c r="H34" s="44"/>
      <c r="I34" s="44"/>
      <c r="J34" s="44"/>
      <c r="K34" s="44"/>
    </row>
    <row r="35" spans="1:11">
      <c r="A35" s="44" t="s">
        <v>336</v>
      </c>
      <c r="B35" s="44" t="s">
        <v>8</v>
      </c>
      <c r="C35" s="44" t="s">
        <v>167</v>
      </c>
      <c r="D35" s="44" t="s">
        <v>137</v>
      </c>
      <c r="E35" s="44">
        <f>ROUND(E31*'[1]附表C-2营造林技术经济指标表'!$I$135,2)</f>
        <v>795.72</v>
      </c>
      <c r="F35" s="45"/>
      <c r="G35" s="44"/>
      <c r="H35" s="44"/>
      <c r="I35" s="44"/>
      <c r="J35" s="44"/>
      <c r="K35" s="44"/>
    </row>
    <row r="36" spans="1:11">
      <c r="A36" s="44" t="s">
        <v>340</v>
      </c>
      <c r="B36" s="44" t="s">
        <v>456</v>
      </c>
      <c r="C36" s="44" t="s">
        <v>101</v>
      </c>
      <c r="D36" s="44" t="s">
        <v>70</v>
      </c>
      <c r="E36" s="44">
        <f>E8</f>
        <v>1326.2</v>
      </c>
      <c r="F36" s="45"/>
      <c r="G36" s="44"/>
      <c r="H36" s="44"/>
      <c r="I36" s="44"/>
      <c r="J36" s="44"/>
      <c r="K36" s="44"/>
    </row>
    <row r="37" spans="1:11">
      <c r="A37" s="44" t="s">
        <v>343</v>
      </c>
      <c r="B37" s="44" t="s">
        <v>8</v>
      </c>
      <c r="C37" s="44" t="s">
        <v>168</v>
      </c>
      <c r="D37" s="44" t="s">
        <v>142</v>
      </c>
      <c r="E37" s="44">
        <f>ROUND(E36*'[1]附表C-2营造林技术经济指标表'!$I$156,2)</f>
        <v>2387.16</v>
      </c>
      <c r="F37" s="45"/>
      <c r="G37" s="44"/>
      <c r="H37" s="44"/>
      <c r="I37" s="44"/>
      <c r="J37" s="44"/>
      <c r="K37" s="44"/>
    </row>
    <row r="38" spans="1:11">
      <c r="A38" s="44" t="s">
        <v>346</v>
      </c>
      <c r="B38" s="44" t="s">
        <v>8</v>
      </c>
      <c r="C38" s="44" t="s">
        <v>169</v>
      </c>
      <c r="D38" s="44" t="s">
        <v>142</v>
      </c>
      <c r="E38" s="44">
        <f>ROUND(E36*'[1]附表C-2营造林技术经济指标表'!$I$156,2)</f>
        <v>2387.16</v>
      </c>
      <c r="F38" s="45"/>
      <c r="G38" s="44"/>
      <c r="H38" s="44"/>
      <c r="I38" s="44"/>
      <c r="J38" s="44"/>
      <c r="K38" s="44"/>
    </row>
    <row r="39" spans="1:11">
      <c r="A39" s="44" t="s">
        <v>348</v>
      </c>
      <c r="B39" s="44" t="s">
        <v>8</v>
      </c>
      <c r="C39" s="44" t="s">
        <v>170</v>
      </c>
      <c r="D39" s="44" t="s">
        <v>296</v>
      </c>
      <c r="E39" s="44" t="s">
        <v>8</v>
      </c>
      <c r="F39" s="45"/>
      <c r="G39" s="44"/>
      <c r="H39" s="44"/>
      <c r="I39" s="44"/>
      <c r="J39" s="44"/>
      <c r="K39" s="44"/>
    </row>
    <row r="40" spans="1:11">
      <c r="A40" s="44" t="s">
        <v>521</v>
      </c>
      <c r="B40" s="44" t="s">
        <v>8</v>
      </c>
      <c r="C40" s="44" t="s">
        <v>171</v>
      </c>
      <c r="D40" s="44" t="s">
        <v>137</v>
      </c>
      <c r="E40" s="44">
        <f>ROUND(E36*'[1]附表C-2营造林技术经济指标表'!$I$141,2)</f>
        <v>251.98</v>
      </c>
      <c r="F40" s="45"/>
      <c r="G40" s="44"/>
      <c r="H40" s="44"/>
      <c r="I40" s="44"/>
      <c r="J40" s="44"/>
      <c r="K40" s="44"/>
    </row>
    <row r="41" spans="1:11">
      <c r="A41" s="44" t="s">
        <v>522</v>
      </c>
      <c r="B41" s="44" t="s">
        <v>457</v>
      </c>
      <c r="C41" s="44" t="s">
        <v>172</v>
      </c>
      <c r="D41" s="44" t="s">
        <v>70</v>
      </c>
      <c r="E41" s="44">
        <f>E8</f>
        <v>1326.2</v>
      </c>
      <c r="F41" s="45"/>
      <c r="G41" s="44"/>
      <c r="H41" s="44"/>
      <c r="I41" s="45"/>
      <c r="J41" s="45"/>
      <c r="K41" s="44"/>
    </row>
    <row r="42" spans="1:11">
      <c r="A42" s="44" t="s">
        <v>523</v>
      </c>
      <c r="B42" s="44" t="s">
        <v>8</v>
      </c>
      <c r="C42" s="44" t="s">
        <v>173</v>
      </c>
      <c r="D42" s="44" t="s">
        <v>166</v>
      </c>
      <c r="E42" s="44">
        <v>3</v>
      </c>
      <c r="F42" s="45"/>
      <c r="G42" s="44"/>
      <c r="H42" s="44"/>
      <c r="I42" s="44"/>
      <c r="J42" s="44"/>
      <c r="K42" s="44"/>
    </row>
    <row r="43" spans="1:11">
      <c r="A43" s="44" t="s">
        <v>524</v>
      </c>
      <c r="B43" s="44" t="s">
        <v>8</v>
      </c>
      <c r="C43" s="44" t="s">
        <v>293</v>
      </c>
      <c r="D43" s="44" t="s">
        <v>137</v>
      </c>
      <c r="E43" s="44">
        <f>ROUND(E41*'[1]附表C-2营造林技术经济指标表'!$I$127,2)</f>
        <v>1193.58</v>
      </c>
      <c r="F43" s="45"/>
      <c r="G43" s="44"/>
      <c r="H43" s="44"/>
      <c r="I43" s="44"/>
      <c r="J43" s="44"/>
      <c r="K43" s="44"/>
    </row>
    <row r="44" spans="1:11">
      <c r="A44" s="44" t="s">
        <v>525</v>
      </c>
      <c r="B44" s="44"/>
      <c r="C44" s="44" t="s">
        <v>526</v>
      </c>
      <c r="D44" s="44" t="s">
        <v>137</v>
      </c>
      <c r="E44" s="44">
        <f>ROUND(E41*'[1]附表C-2营造林技术经济指标表'!$I$137,2)</f>
        <v>437.65</v>
      </c>
      <c r="F44" s="45"/>
      <c r="G44" s="44"/>
      <c r="H44" s="44"/>
      <c r="I44" s="44"/>
      <c r="J44" s="44"/>
      <c r="K44" s="44"/>
    </row>
    <row r="45" spans="1:11">
      <c r="A45" s="44" t="s">
        <v>527</v>
      </c>
      <c r="B45" s="44"/>
      <c r="C45" s="44" t="s">
        <v>372</v>
      </c>
      <c r="D45" s="44" t="s">
        <v>137</v>
      </c>
      <c r="E45" s="44">
        <f>ROUND(E41*'[1]附表C-2营造林技术经济指标表'!$I$139,2)</f>
        <v>2605.98</v>
      </c>
      <c r="F45" s="45"/>
      <c r="G45" s="44"/>
      <c r="H45" s="44"/>
      <c r="I45" s="44"/>
      <c r="J45" s="44"/>
      <c r="K45" s="44"/>
    </row>
    <row r="46" spans="1:11">
      <c r="A46" s="44" t="s">
        <v>528</v>
      </c>
      <c r="B46" s="44" t="s">
        <v>529</v>
      </c>
      <c r="C46" s="44" t="s">
        <v>95</v>
      </c>
      <c r="D46" s="44" t="s">
        <v>70</v>
      </c>
      <c r="E46" s="44">
        <f>E8</f>
        <v>1326.2</v>
      </c>
      <c r="F46" s="45"/>
      <c r="G46" s="44"/>
      <c r="H46" s="44"/>
      <c r="I46" s="44"/>
      <c r="J46" s="44"/>
      <c r="K46" s="44"/>
    </row>
    <row r="47" spans="1:11">
      <c r="A47" s="44" t="s">
        <v>530</v>
      </c>
      <c r="B47" s="44"/>
      <c r="C47" s="44" t="s">
        <v>147</v>
      </c>
      <c r="D47" s="44" t="s">
        <v>148</v>
      </c>
      <c r="E47" s="44">
        <f>ROUND(E46*'[1]附表C-2营造林技术经济指标表'!$I$159,0)</f>
        <v>0</v>
      </c>
      <c r="F47" s="45"/>
      <c r="G47" s="44"/>
      <c r="H47" s="44"/>
      <c r="I47" s="44"/>
      <c r="J47" s="44"/>
      <c r="K47" s="44"/>
    </row>
    <row r="48" spans="1:11">
      <c r="A48" s="44" t="s">
        <v>531</v>
      </c>
      <c r="B48" s="44" t="s">
        <v>458</v>
      </c>
      <c r="C48" s="44" t="s">
        <v>105</v>
      </c>
      <c r="D48" s="44" t="s">
        <v>70</v>
      </c>
      <c r="E48" s="44">
        <f>E8</f>
        <v>1326.2</v>
      </c>
      <c r="F48" s="45"/>
      <c r="G48" s="44"/>
      <c r="H48" s="44"/>
      <c r="I48" s="44"/>
      <c r="J48" s="44"/>
      <c r="K48" s="44"/>
    </row>
    <row r="49" spans="1:11">
      <c r="A49" s="44" t="s">
        <v>532</v>
      </c>
      <c r="B49" s="44" t="s">
        <v>8</v>
      </c>
      <c r="C49" s="44" t="s">
        <v>175</v>
      </c>
      <c r="D49" s="44" t="s">
        <v>176</v>
      </c>
      <c r="E49" s="44">
        <v>3</v>
      </c>
      <c r="F49" s="45"/>
      <c r="G49" s="44"/>
      <c r="H49" s="44"/>
      <c r="I49" s="44"/>
      <c r="J49" s="44"/>
      <c r="K49" s="44"/>
    </row>
    <row r="50" spans="1:11">
      <c r="A50" s="44" t="s">
        <v>533</v>
      </c>
      <c r="B50" s="44" t="s">
        <v>8</v>
      </c>
      <c r="C50" s="44" t="s">
        <v>179</v>
      </c>
      <c r="D50" s="44" t="s">
        <v>180</v>
      </c>
      <c r="E50" s="44">
        <f>ROUND('[1]附表C-2营造林技术经济指标表'!$I$143/3*'[1]附表C-2营造林技术经济指标表'!$I$6,2)</f>
        <v>10.67</v>
      </c>
      <c r="F50" s="45"/>
      <c r="G50" s="44"/>
      <c r="H50" s="44"/>
      <c r="I50" s="44"/>
      <c r="J50" s="44"/>
      <c r="K50" s="44"/>
    </row>
    <row r="51" spans="1:11">
      <c r="A51" s="44" t="s">
        <v>534</v>
      </c>
      <c r="B51" s="44" t="s">
        <v>8</v>
      </c>
      <c r="C51" s="44" t="s">
        <v>181</v>
      </c>
      <c r="D51" s="44" t="s">
        <v>137</v>
      </c>
      <c r="E51" s="44">
        <f>ROUND(E48*'[1]附表C-2营造林技术经济指标表'!$I$143,2)</f>
        <v>331.55</v>
      </c>
      <c r="F51" s="45"/>
      <c r="G51" s="44"/>
      <c r="H51" s="44"/>
      <c r="I51" s="44"/>
      <c r="J51" s="44"/>
      <c r="K51" s="44"/>
    </row>
    <row r="52" spans="1:13">
      <c r="A52" s="44" t="s">
        <v>8</v>
      </c>
      <c r="B52" s="44" t="s">
        <v>8</v>
      </c>
      <c r="C52" s="44" t="s">
        <v>106</v>
      </c>
      <c r="D52" s="44" t="s">
        <v>8</v>
      </c>
      <c r="E52" s="44" t="s">
        <v>8</v>
      </c>
      <c r="F52" s="45">
        <f>SUM(F8,F16,F24,F31,F36,F41,F46,F48)</f>
        <v>1351796.03613</v>
      </c>
      <c r="G52" s="45">
        <f>SUM(G8,G16,G24,G31,G36,G41,G46,G48)</f>
        <v>0</v>
      </c>
      <c r="H52" s="44" t="s">
        <v>0</v>
      </c>
      <c r="I52" s="45">
        <f>SUM(I8,I16,I24,I31,I36,I41,I46,I48)</f>
        <v>27035.94</v>
      </c>
      <c r="J52" s="45">
        <f>SUM(J8,J16,J24,J31,J36,J41,J46,J48)</f>
        <v>67589.8</v>
      </c>
      <c r="K52" s="44">
        <f>SUM(F52:J52)</f>
        <v>1446421.77613</v>
      </c>
      <c r="M52" s="50">
        <f>ROUND(K52/E48,2)</f>
        <v>1090.65</v>
      </c>
    </row>
    <row r="53" ht="118.2" customHeight="1"/>
    <row r="54" customHeight="1" spans="7:11">
      <c r="G54" s="28"/>
      <c r="H54" s="28"/>
      <c r="I54" s="28"/>
      <c r="J54" s="28"/>
      <c r="K54" s="28"/>
    </row>
    <row r="55" ht="24.6" customHeight="1" spans="1:11">
      <c r="A55" s="41" t="s">
        <v>0</v>
      </c>
      <c r="B55" s="41" t="s">
        <v>0</v>
      </c>
      <c r="C55" s="42" t="s">
        <v>77</v>
      </c>
      <c r="D55" s="42" t="s">
        <v>0</v>
      </c>
      <c r="E55" s="42" t="s">
        <v>0</v>
      </c>
      <c r="F55" s="42" t="s">
        <v>0</v>
      </c>
      <c r="G55" s="42" t="s">
        <v>0</v>
      </c>
      <c r="H55" s="42" t="s">
        <v>0</v>
      </c>
      <c r="I55" s="42" t="s">
        <v>0</v>
      </c>
      <c r="J55" s="49" t="s">
        <v>535</v>
      </c>
      <c r="K55" s="49" t="s">
        <v>0</v>
      </c>
    </row>
    <row r="56" spans="1:11">
      <c r="A56" s="43" t="s">
        <v>79</v>
      </c>
      <c r="B56" s="43" t="s">
        <v>0</v>
      </c>
      <c r="C56" s="43" t="s">
        <v>0</v>
      </c>
      <c r="D56" s="43" t="s">
        <v>0</v>
      </c>
      <c r="E56" s="43" t="s">
        <v>0</v>
      </c>
      <c r="F56" s="43" t="s">
        <v>0</v>
      </c>
      <c r="G56" s="43" t="s">
        <v>0</v>
      </c>
      <c r="H56" s="43" t="s">
        <v>0</v>
      </c>
      <c r="I56" s="43" t="s">
        <v>0</v>
      </c>
      <c r="J56" s="43" t="s">
        <v>0</v>
      </c>
      <c r="K56" s="43" t="s">
        <v>0</v>
      </c>
    </row>
    <row r="57" spans="1:11">
      <c r="A57" s="28" t="s">
        <v>22</v>
      </c>
      <c r="B57" s="28" t="s">
        <v>0</v>
      </c>
      <c r="C57" s="17" t="s">
        <v>448</v>
      </c>
      <c r="D57" s="17" t="s">
        <v>0</v>
      </c>
      <c r="E57" s="17" t="s">
        <v>0</v>
      </c>
      <c r="F57" s="17" t="s">
        <v>0</v>
      </c>
      <c r="G57" s="17" t="s">
        <v>0</v>
      </c>
      <c r="H57" s="17" t="s">
        <v>0</v>
      </c>
      <c r="I57" s="17" t="s">
        <v>0</v>
      </c>
      <c r="J57" s="17" t="s">
        <v>81</v>
      </c>
      <c r="K57" s="17" t="s">
        <v>0</v>
      </c>
    </row>
    <row r="58" spans="1:11">
      <c r="A58" s="28" t="s">
        <v>82</v>
      </c>
      <c r="B58" s="28" t="s">
        <v>0</v>
      </c>
      <c r="C58" s="17" t="s">
        <v>460</v>
      </c>
      <c r="D58" s="17" t="s">
        <v>0</v>
      </c>
      <c r="E58" s="17" t="s">
        <v>0</v>
      </c>
      <c r="F58" s="17" t="s">
        <v>0</v>
      </c>
      <c r="G58" s="17" t="s">
        <v>0</v>
      </c>
      <c r="H58" s="17" t="s">
        <v>0</v>
      </c>
      <c r="I58" s="17" t="s">
        <v>0</v>
      </c>
      <c r="J58" s="17" t="str">
        <f>"工程数量："&amp;'[1]附表C-6营造林工程投资概算'!$D$13</f>
        <v>工程数量：2052.76</v>
      </c>
      <c r="K58" s="17" t="s">
        <v>0</v>
      </c>
    </row>
    <row r="59" spans="1:11">
      <c r="A59" s="28" t="s">
        <v>84</v>
      </c>
      <c r="B59" s="28" t="s">
        <v>0</v>
      </c>
      <c r="C59" s="17" t="s">
        <v>461</v>
      </c>
      <c r="D59" s="17" t="s">
        <v>0</v>
      </c>
      <c r="E59" s="17" t="s">
        <v>0</v>
      </c>
      <c r="F59" s="17" t="s">
        <v>0</v>
      </c>
      <c r="G59" s="17" t="s">
        <v>0</v>
      </c>
      <c r="H59" s="17" t="s">
        <v>0</v>
      </c>
      <c r="I59" s="17" t="s">
        <v>0</v>
      </c>
      <c r="J59" s="17" t="str">
        <f>"综合单价："&amp;$M$106&amp;"元 "</f>
        <v>综合单价：979.03元 </v>
      </c>
      <c r="K59" s="17" t="s">
        <v>0</v>
      </c>
    </row>
    <row r="60" spans="1:11">
      <c r="A60" s="44" t="s">
        <v>28</v>
      </c>
      <c r="B60" s="44" t="s">
        <v>86</v>
      </c>
      <c r="C60" s="44" t="s">
        <v>87</v>
      </c>
      <c r="D60" s="44" t="s">
        <v>57</v>
      </c>
      <c r="E60" s="44" t="s">
        <v>88</v>
      </c>
      <c r="F60" s="44" t="s">
        <v>89</v>
      </c>
      <c r="G60" s="44" t="s">
        <v>0</v>
      </c>
      <c r="H60" s="44" t="s">
        <v>0</v>
      </c>
      <c r="I60" s="44" t="s">
        <v>0</v>
      </c>
      <c r="J60" s="44" t="s">
        <v>0</v>
      </c>
      <c r="K60" s="44" t="s">
        <v>0</v>
      </c>
    </row>
    <row r="61" spans="1:11">
      <c r="A61" s="44" t="s">
        <v>0</v>
      </c>
      <c r="B61" s="44" t="s">
        <v>0</v>
      </c>
      <c r="C61" s="44" t="s">
        <v>0</v>
      </c>
      <c r="D61" s="44" t="s">
        <v>0</v>
      </c>
      <c r="E61" s="44" t="s">
        <v>0</v>
      </c>
      <c r="F61" s="45" t="s">
        <v>63</v>
      </c>
      <c r="G61" s="44" t="s">
        <v>64</v>
      </c>
      <c r="H61" s="44" t="s">
        <v>65</v>
      </c>
      <c r="I61" s="44" t="s">
        <v>66</v>
      </c>
      <c r="J61" s="44" t="s">
        <v>67</v>
      </c>
      <c r="K61" s="44" t="s">
        <v>90</v>
      </c>
    </row>
    <row r="62" spans="1:11">
      <c r="A62" s="44" t="s">
        <v>68</v>
      </c>
      <c r="B62" s="44" t="s">
        <v>462</v>
      </c>
      <c r="C62" s="44" t="s">
        <v>363</v>
      </c>
      <c r="D62" s="44" t="s">
        <v>70</v>
      </c>
      <c r="E62" s="44">
        <f>'[1]附表C-6营造林工程投资概算'!$D$13</f>
        <v>2052.76</v>
      </c>
      <c r="F62" s="46">
        <f>SUM(F63:F69)</f>
        <v>1878240.16537</v>
      </c>
      <c r="G62" s="47" t="s">
        <v>0</v>
      </c>
      <c r="H62" s="47" t="s">
        <v>0</v>
      </c>
      <c r="I62" s="47">
        <f>SUM(I63:I69)</f>
        <v>37564.79</v>
      </c>
      <c r="J62" s="47">
        <f>SUM(J63:J69)</f>
        <v>93912.01</v>
      </c>
      <c r="K62" s="47">
        <f>SUM(F62:J62)</f>
        <v>2009716.96537</v>
      </c>
    </row>
    <row r="63" spans="1:11">
      <c r="A63" s="44" t="s">
        <v>71</v>
      </c>
      <c r="B63" s="44"/>
      <c r="C63" s="10" t="s">
        <v>364</v>
      </c>
      <c r="D63" s="44" t="s">
        <v>137</v>
      </c>
      <c r="E63" s="44">
        <f>ROUND(E62*'[1]附表C-2营造林技术经济指标表'!$J$8,2)</f>
        <v>964.8</v>
      </c>
      <c r="F63" s="48">
        <v>178842.52705</v>
      </c>
      <c r="G63" s="47"/>
      <c r="H63" s="47"/>
      <c r="I63" s="47">
        <f>ROUND(F63*0.02,2)</f>
        <v>3576.85</v>
      </c>
      <c r="J63" s="47">
        <f>ROUND(F63*0.05,2)</f>
        <v>8942.13</v>
      </c>
      <c r="K63" s="47"/>
    </row>
    <row r="64" spans="1:11">
      <c r="A64" s="44" t="s">
        <v>73</v>
      </c>
      <c r="B64" s="44"/>
      <c r="C64" s="10" t="s">
        <v>365</v>
      </c>
      <c r="D64" s="44" t="s">
        <v>137</v>
      </c>
      <c r="E64" s="44">
        <f>ROUND(E62*'[1]附表C-2营造林技术经济指标表'!$J$9,2)</f>
        <v>348.97</v>
      </c>
      <c r="F64" s="48">
        <v>64687.71915</v>
      </c>
      <c r="G64" s="47"/>
      <c r="H64" s="47"/>
      <c r="I64" s="47">
        <f t="shared" ref="I64:I69" si="2">ROUND(F64*0.02,2)</f>
        <v>1293.75</v>
      </c>
      <c r="J64" s="47">
        <f t="shared" ref="J64:J69" si="3">ROUND(F64*0.05,2)</f>
        <v>3234.39</v>
      </c>
      <c r="K64" s="47"/>
    </row>
    <row r="65" spans="1:11">
      <c r="A65" s="44" t="s">
        <v>94</v>
      </c>
      <c r="B65" s="44" t="s">
        <v>8</v>
      </c>
      <c r="C65" s="10" t="s">
        <v>366</v>
      </c>
      <c r="D65" s="44" t="s">
        <v>137</v>
      </c>
      <c r="E65" s="44">
        <f>ROUND(E62*'[1]附表C-2营造林技术经济指标表'!$J$10,2)</f>
        <v>1570.36</v>
      </c>
      <c r="F65" s="48">
        <v>291094.74816</v>
      </c>
      <c r="G65" s="47" t="s">
        <v>8</v>
      </c>
      <c r="H65" s="47" t="s">
        <v>8</v>
      </c>
      <c r="I65" s="47">
        <f t="shared" si="2"/>
        <v>5821.89</v>
      </c>
      <c r="J65" s="47">
        <f t="shared" si="3"/>
        <v>14554.74</v>
      </c>
      <c r="K65" s="47" t="s">
        <v>8</v>
      </c>
    </row>
    <row r="66" spans="1:11">
      <c r="A66" s="44" t="s">
        <v>96</v>
      </c>
      <c r="B66" s="44" t="s">
        <v>8</v>
      </c>
      <c r="C66" s="10" t="s">
        <v>367</v>
      </c>
      <c r="D66" s="44" t="s">
        <v>137</v>
      </c>
      <c r="E66" s="44">
        <f>ROUND(E62*'[1]附表C-2营造林技术经济指标表'!$J$11,2)</f>
        <v>5131.9</v>
      </c>
      <c r="F66" s="48">
        <v>524849.6768</v>
      </c>
      <c r="G66" s="47" t="s">
        <v>8</v>
      </c>
      <c r="H66" s="47" t="s">
        <v>8</v>
      </c>
      <c r="I66" s="47">
        <f t="shared" si="2"/>
        <v>10496.99</v>
      </c>
      <c r="J66" s="47">
        <f t="shared" si="3"/>
        <v>26242.48</v>
      </c>
      <c r="K66" s="47" t="s">
        <v>8</v>
      </c>
    </row>
    <row r="67" spans="1:11">
      <c r="A67" s="44" t="s">
        <v>98</v>
      </c>
      <c r="B67" s="44" t="s">
        <v>8</v>
      </c>
      <c r="C67" s="10" t="s">
        <v>384</v>
      </c>
      <c r="D67" s="44" t="s">
        <v>137</v>
      </c>
      <c r="E67" s="44">
        <f>ROUND(E62*'[1]附表C-2营造林技术经济指标表'!$J$12,2)</f>
        <v>2052.76</v>
      </c>
      <c r="F67" s="48">
        <v>209939.87072</v>
      </c>
      <c r="G67" s="47" t="s">
        <v>8</v>
      </c>
      <c r="H67" s="47" t="s">
        <v>8</v>
      </c>
      <c r="I67" s="47">
        <f t="shared" si="2"/>
        <v>4198.8</v>
      </c>
      <c r="J67" s="47">
        <f t="shared" si="3"/>
        <v>10496.99</v>
      </c>
      <c r="K67" s="47" t="s">
        <v>8</v>
      </c>
    </row>
    <row r="68" spans="1:11">
      <c r="A68" s="44" t="s">
        <v>100</v>
      </c>
      <c r="B68" s="44" t="s">
        <v>8</v>
      </c>
      <c r="C68" s="10" t="s">
        <v>385</v>
      </c>
      <c r="D68" s="44" t="s">
        <v>137</v>
      </c>
      <c r="E68" s="44">
        <f>ROUND(E62*'[1]附表C-2营造林技术经济指标表'!$J$13,2)</f>
        <v>4105.52</v>
      </c>
      <c r="F68" s="48">
        <v>419879.74144</v>
      </c>
      <c r="G68" s="47" t="s">
        <v>8</v>
      </c>
      <c r="H68" s="47" t="s">
        <v>8</v>
      </c>
      <c r="I68" s="47">
        <f t="shared" si="2"/>
        <v>8397.59</v>
      </c>
      <c r="J68" s="47">
        <f t="shared" si="3"/>
        <v>20993.99</v>
      </c>
      <c r="K68" s="47" t="s">
        <v>8</v>
      </c>
    </row>
    <row r="69" spans="1:11">
      <c r="A69" s="44" t="s">
        <v>102</v>
      </c>
      <c r="B69" s="44" t="s">
        <v>8</v>
      </c>
      <c r="C69" s="10" t="s">
        <v>386</v>
      </c>
      <c r="D69" s="44" t="s">
        <v>137</v>
      </c>
      <c r="E69" s="44">
        <f>ROUND(E62*'[1]附表C-2营造林技术经济指标表'!$J$14,2)</f>
        <v>1847.48</v>
      </c>
      <c r="F69" s="48">
        <v>188945.88205</v>
      </c>
      <c r="G69" s="47" t="s">
        <v>8</v>
      </c>
      <c r="H69" s="47" t="s">
        <v>8</v>
      </c>
      <c r="I69" s="47">
        <f t="shared" si="2"/>
        <v>3778.92</v>
      </c>
      <c r="J69" s="47">
        <f t="shared" si="3"/>
        <v>9447.29</v>
      </c>
      <c r="K69" s="47" t="s">
        <v>8</v>
      </c>
    </row>
    <row r="70" spans="1:11">
      <c r="A70" s="44" t="s">
        <v>104</v>
      </c>
      <c r="B70" s="44" t="s">
        <v>463</v>
      </c>
      <c r="C70" s="10" t="s">
        <v>453</v>
      </c>
      <c r="D70" s="44" t="s">
        <v>70</v>
      </c>
      <c r="E70" s="44">
        <f>E62</f>
        <v>2052.76</v>
      </c>
      <c r="F70" s="45"/>
      <c r="G70" s="45"/>
      <c r="H70" s="44"/>
      <c r="I70" s="45"/>
      <c r="J70" s="45"/>
      <c r="K70" s="44"/>
    </row>
    <row r="71" spans="1:11">
      <c r="A71" s="44" t="s">
        <v>306</v>
      </c>
      <c r="B71" s="44" t="s">
        <v>8</v>
      </c>
      <c r="C71" s="10" t="s">
        <v>91</v>
      </c>
      <c r="D71" s="44" t="s">
        <v>137</v>
      </c>
      <c r="E71" s="44">
        <f>ROUND(E70*'[1]附表C-2营造林技术经济指标表'!$J$115,2)</f>
        <v>246.33</v>
      </c>
      <c r="F71" s="45"/>
      <c r="G71" s="44"/>
      <c r="H71" s="44"/>
      <c r="I71" s="44"/>
      <c r="J71" s="44"/>
      <c r="K71" s="44"/>
    </row>
    <row r="72" spans="1:11">
      <c r="A72" s="44" t="s">
        <v>146</v>
      </c>
      <c r="B72" s="44" t="s">
        <v>8</v>
      </c>
      <c r="C72" s="10" t="s">
        <v>92</v>
      </c>
      <c r="D72" s="44" t="s">
        <v>137</v>
      </c>
      <c r="E72" s="44">
        <f>ROUND(E70*'[1]附表C-2营造林技术经济指标表'!$J$117,2)</f>
        <v>663.04</v>
      </c>
      <c r="F72" s="45"/>
      <c r="G72" s="44"/>
      <c r="H72" s="44"/>
      <c r="I72" s="44"/>
      <c r="J72" s="44"/>
      <c r="K72" s="44"/>
    </row>
    <row r="73" spans="1:11">
      <c r="A73" s="44" t="s">
        <v>149</v>
      </c>
      <c r="B73" s="44" t="s">
        <v>8</v>
      </c>
      <c r="C73" s="10" t="s">
        <v>514</v>
      </c>
      <c r="D73" s="44" t="s">
        <v>137</v>
      </c>
      <c r="E73" s="44">
        <f>ROUND(E70*('[1]附表C-2营造林技术经济指标表'!$J$123+'[1]附表C-2营造林技术经济指标表'!$J$125),2)</f>
        <v>1103.36</v>
      </c>
      <c r="F73" s="45"/>
      <c r="G73" s="44"/>
      <c r="H73" s="44"/>
      <c r="I73" s="44"/>
      <c r="J73" s="44"/>
      <c r="K73" s="44"/>
    </row>
    <row r="74" spans="1:11">
      <c r="A74" s="44" t="s">
        <v>152</v>
      </c>
      <c r="B74" s="44" t="s">
        <v>8</v>
      </c>
      <c r="C74" s="10" t="s">
        <v>515</v>
      </c>
      <c r="D74" s="44" t="s">
        <v>156</v>
      </c>
      <c r="E74" s="44">
        <f>ROUND(E70*'[1]附表C-2营造林技术经济指标表'!$J$16,2)</f>
        <v>61582.8</v>
      </c>
      <c r="F74" s="45"/>
      <c r="G74" s="44"/>
      <c r="H74" s="44"/>
      <c r="I74" s="44"/>
      <c r="J74" s="44"/>
      <c r="K74" s="44"/>
    </row>
    <row r="75" spans="1:11">
      <c r="A75" s="44" t="s">
        <v>154</v>
      </c>
      <c r="B75" s="44" t="s">
        <v>8</v>
      </c>
      <c r="C75" s="10" t="s">
        <v>516</v>
      </c>
      <c r="D75" s="44" t="s">
        <v>156</v>
      </c>
      <c r="E75" s="44">
        <f>ROUND(E70*'[1]附表C-2营造林技术经济指标表'!$J$17,2)</f>
        <v>6158.28</v>
      </c>
      <c r="F75" s="45"/>
      <c r="G75" s="44"/>
      <c r="H75" s="44"/>
      <c r="I75" s="44"/>
      <c r="J75" s="44"/>
      <c r="K75" s="44"/>
    </row>
    <row r="76" spans="1:11">
      <c r="A76" s="44" t="s">
        <v>157</v>
      </c>
      <c r="B76" s="44" t="s">
        <v>8</v>
      </c>
      <c r="C76" s="10" t="s">
        <v>517</v>
      </c>
      <c r="D76" s="44" t="s">
        <v>156</v>
      </c>
      <c r="E76" s="44">
        <f>E74+E75</f>
        <v>67741.08</v>
      </c>
      <c r="F76" s="45"/>
      <c r="G76" s="44"/>
      <c r="H76" s="44"/>
      <c r="I76" s="44"/>
      <c r="J76" s="44"/>
      <c r="K76" s="44"/>
    </row>
    <row r="77" spans="1:11">
      <c r="A77" s="44" t="s">
        <v>313</v>
      </c>
      <c r="B77" s="44" t="s">
        <v>8</v>
      </c>
      <c r="C77" s="10" t="s">
        <v>518</v>
      </c>
      <c r="D77" s="44" t="s">
        <v>137</v>
      </c>
      <c r="E77" s="44">
        <f>ROUND(E70*'[1]附表C-2营造林技术经济指标表'!$J$119,2)</f>
        <v>225.8</v>
      </c>
      <c r="F77" s="45"/>
      <c r="G77" s="44"/>
      <c r="H77" s="44"/>
      <c r="I77" s="44"/>
      <c r="J77" s="44"/>
      <c r="K77" s="44"/>
    </row>
    <row r="78" spans="1:11">
      <c r="A78" s="44" t="s">
        <v>315</v>
      </c>
      <c r="B78" s="44" t="s">
        <v>464</v>
      </c>
      <c r="C78" s="10" t="s">
        <v>93</v>
      </c>
      <c r="D78" s="44" t="s">
        <v>70</v>
      </c>
      <c r="E78" s="44">
        <f>E62</f>
        <v>2052.76</v>
      </c>
      <c r="F78" s="45"/>
      <c r="G78" s="44"/>
      <c r="H78" s="44"/>
      <c r="I78" s="44"/>
      <c r="J78" s="44"/>
      <c r="K78" s="44"/>
    </row>
    <row r="79" spans="1:11">
      <c r="A79" s="44" t="s">
        <v>317</v>
      </c>
      <c r="B79" s="44" t="s">
        <v>8</v>
      </c>
      <c r="C79" s="10" t="s">
        <v>519</v>
      </c>
      <c r="D79" s="44" t="s">
        <v>142</v>
      </c>
      <c r="E79" s="44">
        <f>ROUND(E78*'[1]附表C-2营造林技术经济指标表'!$J$82*1000,2)</f>
        <v>61582.8</v>
      </c>
      <c r="F79" s="45"/>
      <c r="G79" s="44"/>
      <c r="H79" s="44"/>
      <c r="I79" s="44"/>
      <c r="J79" s="44"/>
      <c r="K79" s="44"/>
    </row>
    <row r="80" ht="130.2" customHeight="1" spans="1:1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17" t="s">
        <v>0</v>
      </c>
      <c r="B81" s="17" t="s">
        <v>0</v>
      </c>
      <c r="C81" s="17" t="s">
        <v>0</v>
      </c>
      <c r="D81" s="17" t="s">
        <v>0</v>
      </c>
      <c r="E81" s="17" t="s">
        <v>0</v>
      </c>
      <c r="F81" s="17" t="s">
        <v>0</v>
      </c>
      <c r="G81" s="28"/>
      <c r="H81" s="28"/>
      <c r="I81" s="28"/>
      <c r="J81" s="28"/>
      <c r="K81" s="28"/>
    </row>
    <row r="82" ht="28.8" customHeight="1" spans="1:11">
      <c r="A82" s="41" t="s">
        <v>0</v>
      </c>
      <c r="B82" s="41" t="s">
        <v>0</v>
      </c>
      <c r="C82" s="42" t="s">
        <v>77</v>
      </c>
      <c r="D82" s="42" t="s">
        <v>0</v>
      </c>
      <c r="E82" s="42" t="s">
        <v>0</v>
      </c>
      <c r="F82" s="42" t="s">
        <v>0</v>
      </c>
      <c r="G82" s="42" t="s">
        <v>0</v>
      </c>
      <c r="H82" s="42" t="s">
        <v>0</v>
      </c>
      <c r="I82" s="42" t="s">
        <v>0</v>
      </c>
      <c r="J82" s="49" t="s">
        <v>536</v>
      </c>
      <c r="K82" s="49" t="s">
        <v>0</v>
      </c>
    </row>
    <row r="83" spans="1:11">
      <c r="A83" s="44" t="s">
        <v>319</v>
      </c>
      <c r="B83" s="44" t="s">
        <v>8</v>
      </c>
      <c r="C83" s="44" t="s">
        <v>143</v>
      </c>
      <c r="D83" s="44" t="s">
        <v>142</v>
      </c>
      <c r="E83" s="44">
        <f>ROUND(E78*'[1]附表C-2营造林技术经济指标表'!$J$82*1000,2)</f>
        <v>61582.8</v>
      </c>
      <c r="F83" s="45" t="s">
        <v>8</v>
      </c>
      <c r="G83" s="44" t="s">
        <v>8</v>
      </c>
      <c r="H83" s="44" t="s">
        <v>8</v>
      </c>
      <c r="I83" s="44" t="s">
        <v>8</v>
      </c>
      <c r="J83" s="44" t="s">
        <v>8</v>
      </c>
      <c r="K83" s="44" t="s">
        <v>8</v>
      </c>
    </row>
    <row r="84" spans="1:11">
      <c r="A84" s="44" t="s">
        <v>321</v>
      </c>
      <c r="B84" s="44" t="s">
        <v>8</v>
      </c>
      <c r="C84" s="44" t="s">
        <v>144</v>
      </c>
      <c r="D84" s="44" t="s">
        <v>137</v>
      </c>
      <c r="E84" s="44">
        <f>ROUND(E78*'[1]附表C-2营造林技术经济指标表'!$J$121,2)</f>
        <v>410.55</v>
      </c>
      <c r="F84" s="45"/>
      <c r="G84" s="44"/>
      <c r="H84" s="44"/>
      <c r="I84" s="44"/>
      <c r="J84" s="44"/>
      <c r="K84" s="44"/>
    </row>
    <row r="85" spans="1:11">
      <c r="A85" s="44" t="s">
        <v>323</v>
      </c>
      <c r="B85" s="44" t="s">
        <v>465</v>
      </c>
      <c r="C85" s="44" t="s">
        <v>99</v>
      </c>
      <c r="D85" s="44" t="s">
        <v>70</v>
      </c>
      <c r="E85" s="44">
        <f>E62</f>
        <v>2052.76</v>
      </c>
      <c r="F85" s="45"/>
      <c r="G85" s="44"/>
      <c r="H85" s="44"/>
      <c r="I85" s="44"/>
      <c r="J85" s="44"/>
      <c r="K85" s="44"/>
    </row>
    <row r="86" spans="1:11">
      <c r="A86" s="44" t="s">
        <v>327</v>
      </c>
      <c r="B86" s="44" t="s">
        <v>8</v>
      </c>
      <c r="C86" s="44" t="s">
        <v>519</v>
      </c>
      <c r="D86" s="44" t="s">
        <v>142</v>
      </c>
      <c r="E86" s="44">
        <f>ROUND(E85*'[1]附表C-2营造林技术经济指标表'!$J$91,2)</f>
        <v>92.37</v>
      </c>
      <c r="F86" s="45"/>
      <c r="G86" s="44"/>
      <c r="H86" s="44"/>
      <c r="I86" s="44"/>
      <c r="J86" s="44"/>
      <c r="K86" s="44"/>
    </row>
    <row r="87" spans="1:11">
      <c r="A87" s="44" t="s">
        <v>330</v>
      </c>
      <c r="B87" s="44" t="s">
        <v>8</v>
      </c>
      <c r="C87" s="44" t="s">
        <v>164</v>
      </c>
      <c r="D87" s="44" t="s">
        <v>142</v>
      </c>
      <c r="E87" s="44">
        <f>ROUND(E85*'[1]附表C-2营造林技术经济指标表'!$J$91,2)</f>
        <v>92.37</v>
      </c>
      <c r="F87" s="45"/>
      <c r="G87" s="44"/>
      <c r="H87" s="44"/>
      <c r="I87" s="44"/>
      <c r="J87" s="44"/>
      <c r="K87" s="44"/>
    </row>
    <row r="88" spans="1:11">
      <c r="A88" s="44" t="s">
        <v>333</v>
      </c>
      <c r="B88" s="44" t="s">
        <v>8</v>
      </c>
      <c r="C88" s="44" t="s">
        <v>165</v>
      </c>
      <c r="D88" s="44" t="s">
        <v>166</v>
      </c>
      <c r="E88" s="44">
        <v>3</v>
      </c>
      <c r="F88" s="45"/>
      <c r="G88" s="44"/>
      <c r="H88" s="44"/>
      <c r="I88" s="44"/>
      <c r="J88" s="44"/>
      <c r="K88" s="44"/>
    </row>
    <row r="89" spans="1:11">
      <c r="A89" s="44" t="s">
        <v>336</v>
      </c>
      <c r="B89" s="44" t="s">
        <v>8</v>
      </c>
      <c r="C89" s="44" t="s">
        <v>167</v>
      </c>
      <c r="D89" s="44" t="s">
        <v>137</v>
      </c>
      <c r="E89" s="44">
        <f>ROUND(E85*'[1]附表C-2营造林技术经济指标表'!$J$135,2)</f>
        <v>1231.66</v>
      </c>
      <c r="F89" s="45"/>
      <c r="G89" s="44"/>
      <c r="H89" s="44"/>
      <c r="I89" s="44"/>
      <c r="J89" s="44"/>
      <c r="K89" s="44"/>
    </row>
    <row r="90" spans="1:11">
      <c r="A90" s="44" t="s">
        <v>340</v>
      </c>
      <c r="B90" s="44" t="s">
        <v>466</v>
      </c>
      <c r="C90" s="44" t="s">
        <v>101</v>
      </c>
      <c r="D90" s="44" t="s">
        <v>70</v>
      </c>
      <c r="E90" s="44">
        <f>E62</f>
        <v>2052.76</v>
      </c>
      <c r="F90" s="45"/>
      <c r="G90" s="44"/>
      <c r="H90" s="44"/>
      <c r="I90" s="44"/>
      <c r="J90" s="44"/>
      <c r="K90" s="44"/>
    </row>
    <row r="91" spans="1:11">
      <c r="A91" s="44" t="s">
        <v>343</v>
      </c>
      <c r="B91" s="44" t="s">
        <v>8</v>
      </c>
      <c r="C91" s="44" t="s">
        <v>168</v>
      </c>
      <c r="D91" s="44" t="s">
        <v>142</v>
      </c>
      <c r="E91" s="44">
        <f>ROUND(E90*'[1]附表C-2营造林技术经济指标表'!$J$156,2)</f>
        <v>3694.97</v>
      </c>
      <c r="F91" s="45"/>
      <c r="G91" s="44"/>
      <c r="H91" s="44"/>
      <c r="I91" s="44"/>
      <c r="J91" s="44"/>
      <c r="K91" s="44"/>
    </row>
    <row r="92" spans="1:11">
      <c r="A92" s="44" t="s">
        <v>346</v>
      </c>
      <c r="B92" s="44" t="s">
        <v>8</v>
      </c>
      <c r="C92" s="44" t="s">
        <v>169</v>
      </c>
      <c r="D92" s="44" t="s">
        <v>142</v>
      </c>
      <c r="E92" s="44">
        <f>ROUND(E90*'[1]附表C-2营造林技术经济指标表'!$J$156,2)</f>
        <v>3694.97</v>
      </c>
      <c r="F92" s="45"/>
      <c r="G92" s="44"/>
      <c r="H92" s="44"/>
      <c r="I92" s="44"/>
      <c r="J92" s="44"/>
      <c r="K92" s="44"/>
    </row>
    <row r="93" spans="1:11">
      <c r="A93" s="44" t="s">
        <v>348</v>
      </c>
      <c r="B93" s="44" t="s">
        <v>8</v>
      </c>
      <c r="C93" s="44" t="s">
        <v>170</v>
      </c>
      <c r="D93" s="44" t="s">
        <v>296</v>
      </c>
      <c r="E93" s="44" t="s">
        <v>8</v>
      </c>
      <c r="F93" s="45"/>
      <c r="G93" s="44"/>
      <c r="H93" s="44"/>
      <c r="I93" s="44"/>
      <c r="J93" s="44"/>
      <c r="K93" s="44"/>
    </row>
    <row r="94" spans="1:11">
      <c r="A94" s="44" t="s">
        <v>521</v>
      </c>
      <c r="B94" s="44" t="s">
        <v>8</v>
      </c>
      <c r="C94" s="44" t="s">
        <v>171</v>
      </c>
      <c r="D94" s="44" t="s">
        <v>137</v>
      </c>
      <c r="E94" s="44">
        <f>ROUND(E90*'[1]附表C-2营造林技术经济指标表'!$J$141,2)</f>
        <v>390.02</v>
      </c>
      <c r="F94" s="45"/>
      <c r="G94" s="44"/>
      <c r="H94" s="44"/>
      <c r="I94" s="44"/>
      <c r="J94" s="44"/>
      <c r="K94" s="44"/>
    </row>
    <row r="95" spans="1:11">
      <c r="A95" s="44" t="s">
        <v>522</v>
      </c>
      <c r="B95" s="44" t="s">
        <v>467</v>
      </c>
      <c r="C95" s="44" t="s">
        <v>172</v>
      </c>
      <c r="D95" s="44" t="s">
        <v>70</v>
      </c>
      <c r="E95" s="44">
        <f>E62</f>
        <v>2052.76</v>
      </c>
      <c r="F95" s="45"/>
      <c r="G95" s="44"/>
      <c r="H95" s="44"/>
      <c r="I95" s="45"/>
      <c r="J95" s="45"/>
      <c r="K95" s="44"/>
    </row>
    <row r="96" spans="1:11">
      <c r="A96" s="44" t="s">
        <v>523</v>
      </c>
      <c r="B96" s="44" t="s">
        <v>8</v>
      </c>
      <c r="C96" s="44" t="s">
        <v>173</v>
      </c>
      <c r="D96" s="44" t="s">
        <v>166</v>
      </c>
      <c r="E96" s="44">
        <v>3</v>
      </c>
      <c r="F96" s="45"/>
      <c r="G96" s="44"/>
      <c r="H96" s="44"/>
      <c r="I96" s="44"/>
      <c r="J96" s="44"/>
      <c r="K96" s="44"/>
    </row>
    <row r="97" spans="1:11">
      <c r="A97" s="44" t="s">
        <v>524</v>
      </c>
      <c r="B97" s="44" t="s">
        <v>8</v>
      </c>
      <c r="C97" s="44" t="s">
        <v>293</v>
      </c>
      <c r="D97" s="44" t="s">
        <v>137</v>
      </c>
      <c r="E97" s="44">
        <f>ROUND(E95*'[1]附表C-2营造林技术经济指标表'!$J$127,2)</f>
        <v>1847.48</v>
      </c>
      <c r="F97" s="45"/>
      <c r="G97" s="44"/>
      <c r="H97" s="44"/>
      <c r="I97" s="44"/>
      <c r="J97" s="44"/>
      <c r="K97" s="44"/>
    </row>
    <row r="98" spans="1:11">
      <c r="A98" s="44" t="s">
        <v>525</v>
      </c>
      <c r="B98" s="44"/>
      <c r="C98" s="44" t="s">
        <v>526</v>
      </c>
      <c r="D98" s="44" t="s">
        <v>137</v>
      </c>
      <c r="E98" s="44">
        <f>ROUND(E95*'[1]附表C-2营造林技术经济指标表'!$J$137,2)</f>
        <v>677.41</v>
      </c>
      <c r="F98" s="45"/>
      <c r="G98" s="44"/>
      <c r="H98" s="44"/>
      <c r="I98" s="44"/>
      <c r="J98" s="44"/>
      <c r="K98" s="44"/>
    </row>
    <row r="99" spans="1:11">
      <c r="A99" s="44" t="s">
        <v>527</v>
      </c>
      <c r="B99" s="44"/>
      <c r="C99" s="44" t="s">
        <v>372</v>
      </c>
      <c r="D99" s="44" t="s">
        <v>137</v>
      </c>
      <c r="E99" s="44">
        <f>ROUND(E95*'[1]附表C-2营造林技术经济指标表'!$J$139,2)</f>
        <v>4033.67</v>
      </c>
      <c r="F99" s="45"/>
      <c r="G99" s="44"/>
      <c r="H99" s="44"/>
      <c r="I99" s="44"/>
      <c r="J99" s="44"/>
      <c r="K99" s="44"/>
    </row>
    <row r="100" spans="1:11">
      <c r="A100" s="44" t="s">
        <v>528</v>
      </c>
      <c r="B100" s="44" t="s">
        <v>537</v>
      </c>
      <c r="C100" s="44" t="s">
        <v>95</v>
      </c>
      <c r="D100" s="44" t="s">
        <v>70</v>
      </c>
      <c r="E100" s="44">
        <f>E62</f>
        <v>2052.76</v>
      </c>
      <c r="F100" s="45"/>
      <c r="G100" s="44"/>
      <c r="H100" s="44"/>
      <c r="I100" s="44"/>
      <c r="J100" s="44"/>
      <c r="K100" s="44"/>
    </row>
    <row r="101" spans="1:11">
      <c r="A101" s="44" t="s">
        <v>530</v>
      </c>
      <c r="B101" s="44"/>
      <c r="C101" s="44" t="s">
        <v>147</v>
      </c>
      <c r="D101" s="44" t="s">
        <v>148</v>
      </c>
      <c r="E101" s="44">
        <f>ROUND(E100*'[1]附表C-2营造林技术经济指标表'!$J$159,0)</f>
        <v>0</v>
      </c>
      <c r="F101" s="45"/>
      <c r="G101" s="44"/>
      <c r="H101" s="44"/>
      <c r="I101" s="44"/>
      <c r="J101" s="44"/>
      <c r="K101" s="44"/>
    </row>
    <row r="102" spans="1:11">
      <c r="A102" s="44" t="s">
        <v>531</v>
      </c>
      <c r="B102" s="44" t="s">
        <v>468</v>
      </c>
      <c r="C102" s="44" t="s">
        <v>105</v>
      </c>
      <c r="D102" s="44" t="s">
        <v>70</v>
      </c>
      <c r="E102" s="44">
        <f>E62</f>
        <v>2052.76</v>
      </c>
      <c r="F102" s="45"/>
      <c r="G102" s="44"/>
      <c r="H102" s="44"/>
      <c r="I102" s="44"/>
      <c r="J102" s="44"/>
      <c r="K102" s="44"/>
    </row>
    <row r="103" spans="1:11">
      <c r="A103" s="44" t="s">
        <v>532</v>
      </c>
      <c r="B103" s="44" t="s">
        <v>8</v>
      </c>
      <c r="C103" s="44" t="s">
        <v>175</v>
      </c>
      <c r="D103" s="44" t="s">
        <v>176</v>
      </c>
      <c r="E103" s="44">
        <v>3</v>
      </c>
      <c r="F103" s="45"/>
      <c r="G103" s="44"/>
      <c r="H103" s="44"/>
      <c r="I103" s="44"/>
      <c r="J103" s="44"/>
      <c r="K103" s="44"/>
    </row>
    <row r="104" spans="1:11">
      <c r="A104" s="44" t="s">
        <v>533</v>
      </c>
      <c r="B104" s="44" t="s">
        <v>8</v>
      </c>
      <c r="C104" s="44" t="s">
        <v>179</v>
      </c>
      <c r="D104" s="44" t="s">
        <v>180</v>
      </c>
      <c r="E104" s="44">
        <f>ROUND('[1]附表C-2营造林技术经济指标表'!$J$143/3*'[1]附表C-2营造林技术经济指标表'!$J$6,2)</f>
        <v>10.67</v>
      </c>
      <c r="F104" s="45"/>
      <c r="G104" s="44"/>
      <c r="H104" s="44"/>
      <c r="I104" s="44"/>
      <c r="J104" s="44"/>
      <c r="K104" s="44"/>
    </row>
    <row r="105" spans="1:11">
      <c r="A105" s="44" t="s">
        <v>534</v>
      </c>
      <c r="B105" s="44" t="s">
        <v>8</v>
      </c>
      <c r="C105" s="44" t="s">
        <v>181</v>
      </c>
      <c r="D105" s="44" t="s">
        <v>137</v>
      </c>
      <c r="E105" s="44">
        <f>ROUND(E102*'[1]附表C-2营造林技术经济指标表'!$J$143,2)</f>
        <v>513.19</v>
      </c>
      <c r="F105" s="45"/>
      <c r="G105" s="44"/>
      <c r="H105" s="44"/>
      <c r="I105" s="44"/>
      <c r="J105" s="44"/>
      <c r="K105" s="44"/>
    </row>
    <row r="106" spans="1:13">
      <c r="A106" s="44" t="s">
        <v>8</v>
      </c>
      <c r="B106" s="44" t="s">
        <v>8</v>
      </c>
      <c r="C106" s="44" t="s">
        <v>106</v>
      </c>
      <c r="D106" s="44" t="s">
        <v>8</v>
      </c>
      <c r="E106" s="44" t="s">
        <v>8</v>
      </c>
      <c r="F106" s="45">
        <f>SUM(F62,F70,F78,F85,F90,F95,F100,F102)</f>
        <v>1878240.16537</v>
      </c>
      <c r="G106" s="45">
        <f>SUM(G62,G70,G78,G85,G90,G95,G100,G102)</f>
        <v>0</v>
      </c>
      <c r="H106" s="44" t="s">
        <v>0</v>
      </c>
      <c r="I106" s="45">
        <f>SUM(I62,I70,I78,I85,I90,I95,I100,I102)</f>
        <v>37564.79</v>
      </c>
      <c r="J106" s="45">
        <f>SUM(J62,J70,J78,J85,J90,J95,J100,J102)</f>
        <v>93912.01</v>
      </c>
      <c r="K106" s="44">
        <f>SUM(F106:J106)</f>
        <v>2009716.96537</v>
      </c>
      <c r="M106" s="1">
        <f>ROUND(K106/E102,2)</f>
        <v>979.03</v>
      </c>
    </row>
    <row r="107" ht="116.4" customHeight="1"/>
    <row r="108" spans="7:11">
      <c r="G108" s="28"/>
      <c r="H108" s="28"/>
      <c r="I108" s="28"/>
      <c r="J108" s="28"/>
      <c r="K108" s="28"/>
    </row>
    <row r="109" ht="24" customHeight="1" spans="1:11">
      <c r="A109" s="41" t="s">
        <v>0</v>
      </c>
      <c r="B109" s="41" t="s">
        <v>0</v>
      </c>
      <c r="C109" s="42" t="s">
        <v>77</v>
      </c>
      <c r="D109" s="42" t="s">
        <v>0</v>
      </c>
      <c r="E109" s="42" t="s">
        <v>0</v>
      </c>
      <c r="F109" s="42" t="s">
        <v>0</v>
      </c>
      <c r="G109" s="42" t="s">
        <v>0</v>
      </c>
      <c r="H109" s="42" t="s">
        <v>0</v>
      </c>
      <c r="I109" s="42" t="s">
        <v>0</v>
      </c>
      <c r="J109" s="49" t="s">
        <v>538</v>
      </c>
      <c r="K109" s="49" t="s">
        <v>0</v>
      </c>
    </row>
    <row r="110" spans="1:11">
      <c r="A110" s="43" t="s">
        <v>79</v>
      </c>
      <c r="B110" s="43" t="s">
        <v>0</v>
      </c>
      <c r="C110" s="43" t="s">
        <v>0</v>
      </c>
      <c r="D110" s="43" t="s">
        <v>0</v>
      </c>
      <c r="E110" s="43" t="s">
        <v>0</v>
      </c>
      <c r="F110" s="43" t="s">
        <v>0</v>
      </c>
      <c r="G110" s="43" t="s">
        <v>0</v>
      </c>
      <c r="H110" s="43" t="s">
        <v>0</v>
      </c>
      <c r="I110" s="43" t="s">
        <v>0</v>
      </c>
      <c r="J110" s="43" t="s">
        <v>0</v>
      </c>
      <c r="K110" s="43" t="s">
        <v>0</v>
      </c>
    </row>
    <row r="111" spans="1:11">
      <c r="A111" s="28" t="s">
        <v>22</v>
      </c>
      <c r="B111" s="28" t="s">
        <v>0</v>
      </c>
      <c r="C111" s="17" t="s">
        <v>448</v>
      </c>
      <c r="D111" s="17" t="s">
        <v>0</v>
      </c>
      <c r="E111" s="17" t="s">
        <v>0</v>
      </c>
      <c r="F111" s="17" t="s">
        <v>0</v>
      </c>
      <c r="G111" s="17" t="s">
        <v>0</v>
      </c>
      <c r="H111" s="17" t="s">
        <v>0</v>
      </c>
      <c r="I111" s="17" t="s">
        <v>0</v>
      </c>
      <c r="J111" s="17" t="s">
        <v>81</v>
      </c>
      <c r="K111" s="17" t="s">
        <v>0</v>
      </c>
    </row>
    <row r="112" spans="1:11">
      <c r="A112" s="28" t="s">
        <v>82</v>
      </c>
      <c r="B112" s="28" t="s">
        <v>0</v>
      </c>
      <c r="C112" s="17" t="s">
        <v>470</v>
      </c>
      <c r="D112" s="17" t="s">
        <v>0</v>
      </c>
      <c r="E112" s="17" t="s">
        <v>0</v>
      </c>
      <c r="F112" s="17" t="s">
        <v>0</v>
      </c>
      <c r="G112" s="17" t="s">
        <v>0</v>
      </c>
      <c r="H112" s="17" t="s">
        <v>0</v>
      </c>
      <c r="I112" s="17" t="s">
        <v>0</v>
      </c>
      <c r="J112" s="17" t="str">
        <f>"工程数量："&amp;'[1]附表C-6营造林工程投资概算'!$D$14</f>
        <v>工程数量：59.45</v>
      </c>
      <c r="K112" s="17" t="s">
        <v>0</v>
      </c>
    </row>
    <row r="113" spans="1:11">
      <c r="A113" s="28" t="s">
        <v>84</v>
      </c>
      <c r="B113" s="28" t="s">
        <v>0</v>
      </c>
      <c r="C113" s="17" t="s">
        <v>471</v>
      </c>
      <c r="D113" s="17" t="s">
        <v>0</v>
      </c>
      <c r="E113" s="17" t="s">
        <v>0</v>
      </c>
      <c r="F113" s="17" t="s">
        <v>0</v>
      </c>
      <c r="G113" s="17" t="s">
        <v>0</v>
      </c>
      <c r="H113" s="17" t="s">
        <v>0</v>
      </c>
      <c r="I113" s="17" t="s">
        <v>0</v>
      </c>
      <c r="J113" s="17" t="str">
        <f>"综合单价："&amp;$M$160&amp;"元 "</f>
        <v>综合单价：1090.65元 </v>
      </c>
      <c r="K113" s="17" t="s">
        <v>0</v>
      </c>
    </row>
    <row r="114" spans="1:11">
      <c r="A114" s="44" t="s">
        <v>28</v>
      </c>
      <c r="B114" s="44" t="s">
        <v>86</v>
      </c>
      <c r="C114" s="44" t="s">
        <v>87</v>
      </c>
      <c r="D114" s="44" t="s">
        <v>57</v>
      </c>
      <c r="E114" s="44" t="s">
        <v>88</v>
      </c>
      <c r="F114" s="44" t="s">
        <v>89</v>
      </c>
      <c r="G114" s="44" t="s">
        <v>0</v>
      </c>
      <c r="H114" s="44" t="s">
        <v>0</v>
      </c>
      <c r="I114" s="44" t="s">
        <v>0</v>
      </c>
      <c r="J114" s="44" t="s">
        <v>0</v>
      </c>
      <c r="K114" s="44" t="s">
        <v>0</v>
      </c>
    </row>
    <row r="115" spans="1:11">
      <c r="A115" s="44" t="s">
        <v>0</v>
      </c>
      <c r="B115" s="44" t="s">
        <v>0</v>
      </c>
      <c r="C115" s="44" t="s">
        <v>0</v>
      </c>
      <c r="D115" s="44" t="s">
        <v>0</v>
      </c>
      <c r="E115" s="44" t="s">
        <v>0</v>
      </c>
      <c r="F115" s="45" t="s">
        <v>63</v>
      </c>
      <c r="G115" s="44" t="s">
        <v>64</v>
      </c>
      <c r="H115" s="44" t="s">
        <v>65</v>
      </c>
      <c r="I115" s="44" t="s">
        <v>66</v>
      </c>
      <c r="J115" s="44" t="s">
        <v>67</v>
      </c>
      <c r="K115" s="44" t="s">
        <v>90</v>
      </c>
    </row>
    <row r="116" spans="1:11">
      <c r="A116" s="44" t="s">
        <v>68</v>
      </c>
      <c r="B116" s="44" t="s">
        <v>472</v>
      </c>
      <c r="C116" s="44" t="s">
        <v>363</v>
      </c>
      <c r="D116" s="44" t="s">
        <v>70</v>
      </c>
      <c r="E116" s="44">
        <f>'[1]附表C-6营造林工程投资概算'!$D$14</f>
        <v>59.45</v>
      </c>
      <c r="F116" s="46">
        <f>SUM(F117:F123)</f>
        <v>60597.40644</v>
      </c>
      <c r="G116" s="47" t="s">
        <v>0</v>
      </c>
      <c r="H116" s="47" t="s">
        <v>0</v>
      </c>
      <c r="I116" s="46">
        <f>SUM(I117:I123)</f>
        <v>1211.95</v>
      </c>
      <c r="J116" s="46">
        <f>SUM(J117:J123)</f>
        <v>3029.86</v>
      </c>
      <c r="K116" s="47">
        <f>SUM(F116:J116)</f>
        <v>64839.21644</v>
      </c>
    </row>
    <row r="117" spans="1:11">
      <c r="A117" s="44" t="s">
        <v>71</v>
      </c>
      <c r="B117" s="44"/>
      <c r="C117" s="10" t="s">
        <v>364</v>
      </c>
      <c r="D117" s="44" t="s">
        <v>137</v>
      </c>
      <c r="E117" s="44">
        <f>ROUND(E116*'[1]附表C-2营造林技术经济指标表'!$K$8,2)</f>
        <v>27.94</v>
      </c>
      <c r="F117" s="47">
        <v>5179.46157</v>
      </c>
      <c r="G117" s="47"/>
      <c r="H117" s="47"/>
      <c r="I117" s="47">
        <f t="shared" ref="I117" si="4">ROUND(F117*0.02,2)</f>
        <v>103.59</v>
      </c>
      <c r="J117" s="47">
        <f t="shared" ref="J117" si="5">ROUND(F117*0.05,2)</f>
        <v>258.97</v>
      </c>
      <c r="K117" s="47"/>
    </row>
    <row r="118" spans="1:11">
      <c r="A118" s="44" t="s">
        <v>73</v>
      </c>
      <c r="B118" s="44"/>
      <c r="C118" s="10" t="s">
        <v>365</v>
      </c>
      <c r="D118" s="44" t="s">
        <v>137</v>
      </c>
      <c r="E118" s="44">
        <f>ROUND(E116*'[1]附表C-2营造林技术经济指标表'!$K$9,2)</f>
        <v>10.11</v>
      </c>
      <c r="F118" s="47">
        <v>1873.42329</v>
      </c>
      <c r="G118" s="47"/>
      <c r="H118" s="47"/>
      <c r="I118" s="47">
        <f t="shared" ref="I118:I123" si="6">ROUND(F118*0.02,2)</f>
        <v>37.47</v>
      </c>
      <c r="J118" s="47">
        <f t="shared" ref="J118:J123" si="7">ROUND(F118*0.05,2)</f>
        <v>93.67</v>
      </c>
      <c r="K118" s="47"/>
    </row>
    <row r="119" spans="1:11">
      <c r="A119" s="44" t="s">
        <v>94</v>
      </c>
      <c r="B119" s="44" t="s">
        <v>8</v>
      </c>
      <c r="C119" s="10" t="s">
        <v>366</v>
      </c>
      <c r="D119" s="44" t="s">
        <v>137</v>
      </c>
      <c r="E119" s="44">
        <f>ROUND(E116*'[1]附表C-2营造林技术经济指标表'!$K$10,2)</f>
        <v>45.48</v>
      </c>
      <c r="F119" s="47">
        <v>8430.40081</v>
      </c>
      <c r="G119" s="47" t="s">
        <v>8</v>
      </c>
      <c r="H119" s="47" t="s">
        <v>8</v>
      </c>
      <c r="I119" s="47">
        <f t="shared" si="6"/>
        <v>168.61</v>
      </c>
      <c r="J119" s="47">
        <f t="shared" si="7"/>
        <v>421.52</v>
      </c>
      <c r="K119" s="47" t="s">
        <v>8</v>
      </c>
    </row>
    <row r="120" spans="1:11">
      <c r="A120" s="44" t="s">
        <v>96</v>
      </c>
      <c r="B120" s="44" t="s">
        <v>8</v>
      </c>
      <c r="C120" s="10" t="s">
        <v>367</v>
      </c>
      <c r="D120" s="44" t="s">
        <v>137</v>
      </c>
      <c r="E120" s="44">
        <f>ROUND(E116*'[1]附表C-2营造林技术经济指标表'!$K$11,2)</f>
        <v>157.84</v>
      </c>
      <c r="F120" s="47">
        <v>16142.58851</v>
      </c>
      <c r="G120" s="47" t="s">
        <v>8</v>
      </c>
      <c r="H120" s="47" t="s">
        <v>8</v>
      </c>
      <c r="I120" s="47">
        <f t="shared" si="6"/>
        <v>322.85</v>
      </c>
      <c r="J120" s="47">
        <f t="shared" si="7"/>
        <v>807.13</v>
      </c>
      <c r="K120" s="47" t="s">
        <v>8</v>
      </c>
    </row>
    <row r="121" spans="1:11">
      <c r="A121" s="44" t="s">
        <v>98</v>
      </c>
      <c r="B121" s="44" t="s">
        <v>8</v>
      </c>
      <c r="C121" s="10" t="s">
        <v>384</v>
      </c>
      <c r="D121" s="44" t="s">
        <v>137</v>
      </c>
      <c r="E121" s="44">
        <f>ROUND(E116*'[1]附表C-2营造林技术经济指标表'!$K$12,2)</f>
        <v>71.34</v>
      </c>
      <c r="F121" s="47">
        <v>7296.08448</v>
      </c>
      <c r="G121" s="47" t="s">
        <v>8</v>
      </c>
      <c r="H121" s="47" t="s">
        <v>8</v>
      </c>
      <c r="I121" s="47">
        <f t="shared" si="6"/>
        <v>145.92</v>
      </c>
      <c r="J121" s="47">
        <f t="shared" si="7"/>
        <v>364.8</v>
      </c>
      <c r="K121" s="47" t="s">
        <v>8</v>
      </c>
    </row>
    <row r="122" spans="1:11">
      <c r="A122" s="44" t="s">
        <v>100</v>
      </c>
      <c r="B122" s="44" t="s">
        <v>8</v>
      </c>
      <c r="C122" s="10" t="s">
        <v>385</v>
      </c>
      <c r="D122" s="44" t="s">
        <v>137</v>
      </c>
      <c r="E122" s="44">
        <f>ROUND(E116*'[1]附表C-2营造林技术经济指标表'!$K$13,2)</f>
        <v>145.06</v>
      </c>
      <c r="F122" s="47">
        <v>14835.36858</v>
      </c>
      <c r="G122" s="47" t="s">
        <v>8</v>
      </c>
      <c r="H122" s="47" t="s">
        <v>8</v>
      </c>
      <c r="I122" s="47">
        <f t="shared" si="6"/>
        <v>296.71</v>
      </c>
      <c r="J122" s="47">
        <f t="shared" si="7"/>
        <v>741.77</v>
      </c>
      <c r="K122" s="47" t="s">
        <v>8</v>
      </c>
    </row>
    <row r="123" spans="1:11">
      <c r="A123" s="44" t="s">
        <v>102</v>
      </c>
      <c r="B123" s="44" t="s">
        <v>8</v>
      </c>
      <c r="C123" s="10" t="s">
        <v>386</v>
      </c>
      <c r="D123" s="44" t="s">
        <v>137</v>
      </c>
      <c r="E123" s="44">
        <f>ROUND(E116*'[1]附表C-2营造林技术经济指标表'!$K$14,2)</f>
        <v>66.88</v>
      </c>
      <c r="F123" s="47">
        <v>6840.0792</v>
      </c>
      <c r="G123" s="47" t="s">
        <v>8</v>
      </c>
      <c r="H123" s="47" t="s">
        <v>8</v>
      </c>
      <c r="I123" s="47">
        <f t="shared" si="6"/>
        <v>136.8</v>
      </c>
      <c r="J123" s="47">
        <f t="shared" si="7"/>
        <v>342</v>
      </c>
      <c r="K123" s="47" t="s">
        <v>8</v>
      </c>
    </row>
    <row r="124" spans="1:11">
      <c r="A124" s="44" t="s">
        <v>104</v>
      </c>
      <c r="B124" s="44" t="s">
        <v>473</v>
      </c>
      <c r="C124" s="10" t="s">
        <v>453</v>
      </c>
      <c r="D124" s="44" t="s">
        <v>70</v>
      </c>
      <c r="E124" s="44">
        <f>E116</f>
        <v>59.45</v>
      </c>
      <c r="F124" s="46"/>
      <c r="G124" s="46"/>
      <c r="H124" s="47"/>
      <c r="I124" s="46"/>
      <c r="J124" s="46"/>
      <c r="K124" s="47"/>
    </row>
    <row r="125" spans="1:11">
      <c r="A125" s="44" t="s">
        <v>306</v>
      </c>
      <c r="B125" s="44" t="s">
        <v>8</v>
      </c>
      <c r="C125" s="10" t="s">
        <v>91</v>
      </c>
      <c r="D125" s="44" t="s">
        <v>137</v>
      </c>
      <c r="E125" s="44">
        <f>ROUND(E124*'[1]附表C-2营造林技术经济指标表'!$K$115,2)</f>
        <v>4.76</v>
      </c>
      <c r="F125" s="45"/>
      <c r="G125" s="44"/>
      <c r="H125" s="44"/>
      <c r="I125" s="44"/>
      <c r="J125" s="44"/>
      <c r="K125" s="44"/>
    </row>
    <row r="126" spans="1:11">
      <c r="A126" s="44" t="s">
        <v>146</v>
      </c>
      <c r="B126" s="44" t="s">
        <v>8</v>
      </c>
      <c r="C126" s="10" t="s">
        <v>92</v>
      </c>
      <c r="D126" s="44" t="s">
        <v>137</v>
      </c>
      <c r="E126" s="44">
        <f>ROUND(E124*'[1]附表C-2营造林技术经济指标表'!$K$117,2)</f>
        <v>42.36</v>
      </c>
      <c r="F126" s="45"/>
      <c r="G126" s="44"/>
      <c r="H126" s="44"/>
      <c r="I126" s="44"/>
      <c r="J126" s="44"/>
      <c r="K126" s="44"/>
    </row>
    <row r="127" spans="1:11">
      <c r="A127" s="44" t="s">
        <v>149</v>
      </c>
      <c r="B127" s="44" t="s">
        <v>8</v>
      </c>
      <c r="C127" s="10" t="s">
        <v>514</v>
      </c>
      <c r="D127" s="44" t="s">
        <v>137</v>
      </c>
      <c r="E127" s="44">
        <f>ROUND(E124*('[1]附表C-2营造林技术经济指标表'!$K$123+'[1]附表C-2营造林技术经济指标表'!$K$125),2)</f>
        <v>65.4</v>
      </c>
      <c r="F127" s="45"/>
      <c r="G127" s="44"/>
      <c r="H127" s="44"/>
      <c r="I127" s="44"/>
      <c r="J127" s="44"/>
      <c r="K127" s="44"/>
    </row>
    <row r="128" spans="1:11">
      <c r="A128" s="44" t="s">
        <v>152</v>
      </c>
      <c r="B128" s="44" t="s">
        <v>8</v>
      </c>
      <c r="C128" s="10" t="s">
        <v>515</v>
      </c>
      <c r="D128" s="44" t="s">
        <v>156</v>
      </c>
      <c r="E128" s="44">
        <f>ROUND(E124*'[1]附表C-2营造林技术经济指标表'!$K$16,2)</f>
        <v>1189</v>
      </c>
      <c r="F128" s="45"/>
      <c r="G128" s="44"/>
      <c r="H128" s="44"/>
      <c r="I128" s="44"/>
      <c r="J128" s="44"/>
      <c r="K128" s="44"/>
    </row>
    <row r="129" spans="1:15">
      <c r="A129" s="44" t="s">
        <v>154</v>
      </c>
      <c r="B129" s="44" t="s">
        <v>8</v>
      </c>
      <c r="C129" s="10" t="s">
        <v>516</v>
      </c>
      <c r="D129" s="44" t="s">
        <v>156</v>
      </c>
      <c r="E129" s="44">
        <f>ROUND(E124*'[1]附表C-2营造林技术经济指标表'!$K$17,2)</f>
        <v>118.9</v>
      </c>
      <c r="F129" s="45"/>
      <c r="G129" s="44"/>
      <c r="H129" s="44"/>
      <c r="I129" s="44"/>
      <c r="J129" s="44"/>
      <c r="K129" s="44"/>
      <c r="O129" s="52"/>
    </row>
    <row r="130" spans="1:11">
      <c r="A130" s="44" t="s">
        <v>157</v>
      </c>
      <c r="B130" s="44" t="s">
        <v>8</v>
      </c>
      <c r="C130" s="10" t="s">
        <v>517</v>
      </c>
      <c r="D130" s="44" t="s">
        <v>156</v>
      </c>
      <c r="E130" s="44">
        <f>E128+E129</f>
        <v>1307.9</v>
      </c>
      <c r="F130" s="45"/>
      <c r="G130" s="44"/>
      <c r="H130" s="44"/>
      <c r="I130" s="44"/>
      <c r="J130" s="44"/>
      <c r="K130" s="44"/>
    </row>
    <row r="131" spans="1:11">
      <c r="A131" s="44" t="s">
        <v>313</v>
      </c>
      <c r="B131" s="44" t="s">
        <v>8</v>
      </c>
      <c r="C131" s="10" t="s">
        <v>518</v>
      </c>
      <c r="D131" s="44" t="s">
        <v>137</v>
      </c>
      <c r="E131" s="44">
        <f>ROUND(E124*'[1]附表C-2营造林技术经济指标表'!$K$119,2)</f>
        <v>4.16</v>
      </c>
      <c r="F131" s="45"/>
      <c r="G131" s="44"/>
      <c r="H131" s="44"/>
      <c r="I131" s="44"/>
      <c r="J131" s="44"/>
      <c r="K131" s="44"/>
    </row>
    <row r="132" spans="1:11">
      <c r="A132" s="44" t="s">
        <v>315</v>
      </c>
      <c r="B132" s="44" t="s">
        <v>474</v>
      </c>
      <c r="C132" s="10" t="s">
        <v>93</v>
      </c>
      <c r="D132" s="44" t="s">
        <v>70</v>
      </c>
      <c r="E132" s="44">
        <f>E116</f>
        <v>59.45</v>
      </c>
      <c r="F132" s="45"/>
      <c r="G132" s="44"/>
      <c r="H132" s="44"/>
      <c r="I132" s="44"/>
      <c r="J132" s="44"/>
      <c r="K132" s="44"/>
    </row>
    <row r="133" spans="1:11">
      <c r="A133" s="44" t="s">
        <v>317</v>
      </c>
      <c r="B133" s="44" t="s">
        <v>8</v>
      </c>
      <c r="C133" s="10" t="s">
        <v>519</v>
      </c>
      <c r="D133" s="44" t="s">
        <v>142</v>
      </c>
      <c r="E133" s="44">
        <f>ROUND(E132*'[1]附表C-2营造林技术经济指标表'!$K$82*1000,2)</f>
        <v>2378</v>
      </c>
      <c r="F133" s="45"/>
      <c r="G133" s="44"/>
      <c r="H133" s="44"/>
      <c r="I133" s="44"/>
      <c r="J133" s="44"/>
      <c r="K133" s="44"/>
    </row>
    <row r="134" ht="126.6" customHeight="1" spans="1:1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17" t="s">
        <v>0</v>
      </c>
      <c r="B135" s="17" t="s">
        <v>0</v>
      </c>
      <c r="C135" s="17" t="s">
        <v>0</v>
      </c>
      <c r="D135" s="17" t="s">
        <v>0</v>
      </c>
      <c r="E135" s="17" t="s">
        <v>0</v>
      </c>
      <c r="F135" s="17" t="s">
        <v>0</v>
      </c>
      <c r="G135" s="28"/>
      <c r="H135" s="28"/>
      <c r="I135" s="28"/>
      <c r="J135" s="28"/>
      <c r="K135" s="28"/>
    </row>
    <row r="136" ht="22.2" customHeight="1" spans="1:11">
      <c r="A136" s="41" t="s">
        <v>0</v>
      </c>
      <c r="B136" s="41" t="s">
        <v>0</v>
      </c>
      <c r="C136" s="51" t="s">
        <v>77</v>
      </c>
      <c r="D136" s="51" t="s">
        <v>0</v>
      </c>
      <c r="E136" s="51" t="s">
        <v>0</v>
      </c>
      <c r="F136" s="51" t="s">
        <v>0</v>
      </c>
      <c r="G136" s="51" t="s">
        <v>0</v>
      </c>
      <c r="H136" s="51" t="s">
        <v>0</v>
      </c>
      <c r="I136" s="51" t="s">
        <v>0</v>
      </c>
      <c r="J136" s="49" t="s">
        <v>539</v>
      </c>
      <c r="K136" s="49" t="s">
        <v>0</v>
      </c>
    </row>
    <row r="137" spans="1:11">
      <c r="A137" s="44" t="s">
        <v>319</v>
      </c>
      <c r="B137" s="44" t="s">
        <v>8</v>
      </c>
      <c r="C137" s="44" t="s">
        <v>143</v>
      </c>
      <c r="D137" s="44" t="s">
        <v>142</v>
      </c>
      <c r="E137" s="44">
        <f>ROUND(E132*'[1]附表C-2营造林技术经济指标表'!$K$82*1000,2)</f>
        <v>2378</v>
      </c>
      <c r="F137" s="45"/>
      <c r="G137" s="44"/>
      <c r="H137" s="44"/>
      <c r="I137" s="44"/>
      <c r="J137" s="44"/>
      <c r="K137" s="44"/>
    </row>
    <row r="138" spans="1:11">
      <c r="A138" s="44" t="s">
        <v>321</v>
      </c>
      <c r="B138" s="44" t="s">
        <v>8</v>
      </c>
      <c r="C138" s="44" t="s">
        <v>144</v>
      </c>
      <c r="D138" s="44" t="s">
        <v>137</v>
      </c>
      <c r="E138" s="44">
        <f>ROUND(E132*'[1]附表C-2营造林技术经济指标表'!$K$121,2)</f>
        <v>7.73</v>
      </c>
      <c r="F138" s="45"/>
      <c r="G138" s="44"/>
      <c r="H138" s="44"/>
      <c r="I138" s="44"/>
      <c r="J138" s="44"/>
      <c r="K138" s="44"/>
    </row>
    <row r="139" spans="1:11">
      <c r="A139" s="44" t="s">
        <v>323</v>
      </c>
      <c r="B139" s="44" t="s">
        <v>475</v>
      </c>
      <c r="C139" s="44" t="s">
        <v>99</v>
      </c>
      <c r="D139" s="44" t="s">
        <v>70</v>
      </c>
      <c r="E139" s="44">
        <f>E116</f>
        <v>59.45</v>
      </c>
      <c r="F139" s="45"/>
      <c r="G139" s="44"/>
      <c r="H139" s="44"/>
      <c r="I139" s="44"/>
      <c r="J139" s="44"/>
      <c r="K139" s="44"/>
    </row>
    <row r="140" spans="1:11">
      <c r="A140" s="44" t="s">
        <v>327</v>
      </c>
      <c r="B140" s="44" t="s">
        <v>8</v>
      </c>
      <c r="C140" s="44" t="s">
        <v>519</v>
      </c>
      <c r="D140" s="44" t="s">
        <v>142</v>
      </c>
      <c r="E140" s="44">
        <f>ROUND(E139*'[1]附表C-2营造林技术经济指标表'!$K$91,2)</f>
        <v>3.57</v>
      </c>
      <c r="F140" s="45"/>
      <c r="G140" s="44"/>
      <c r="H140" s="44"/>
      <c r="I140" s="44"/>
      <c r="J140" s="44"/>
      <c r="K140" s="44"/>
    </row>
    <row r="141" spans="1:11">
      <c r="A141" s="44" t="s">
        <v>330</v>
      </c>
      <c r="B141" s="44" t="s">
        <v>8</v>
      </c>
      <c r="C141" s="44" t="s">
        <v>164</v>
      </c>
      <c r="D141" s="44" t="s">
        <v>142</v>
      </c>
      <c r="E141" s="44">
        <f>ROUND(E139*'[1]附表C-2营造林技术经济指标表'!$K$91,2)</f>
        <v>3.57</v>
      </c>
      <c r="F141" s="45"/>
      <c r="G141" s="44"/>
      <c r="H141" s="44"/>
      <c r="I141" s="44"/>
      <c r="J141" s="44"/>
      <c r="K141" s="44"/>
    </row>
    <row r="142" spans="1:11">
      <c r="A142" s="44" t="s">
        <v>333</v>
      </c>
      <c r="B142" s="44" t="s">
        <v>8</v>
      </c>
      <c r="C142" s="44" t="s">
        <v>165</v>
      </c>
      <c r="D142" s="44" t="s">
        <v>166</v>
      </c>
      <c r="E142" s="44">
        <v>3</v>
      </c>
      <c r="F142" s="45"/>
      <c r="G142" s="44"/>
      <c r="H142" s="44"/>
      <c r="I142" s="44"/>
      <c r="J142" s="44"/>
      <c r="K142" s="44"/>
    </row>
    <row r="143" spans="1:11">
      <c r="A143" s="44" t="s">
        <v>336</v>
      </c>
      <c r="B143" s="44" t="s">
        <v>8</v>
      </c>
      <c r="C143" s="44" t="s">
        <v>167</v>
      </c>
      <c r="D143" s="44" t="s">
        <v>137</v>
      </c>
      <c r="E143" s="44">
        <f>ROUND(E139*'[1]附表C-2营造林技术经济指标表'!$K$135,2)</f>
        <v>23.78</v>
      </c>
      <c r="F143" s="45"/>
      <c r="G143" s="44"/>
      <c r="H143" s="44"/>
      <c r="I143" s="44"/>
      <c r="J143" s="44"/>
      <c r="K143" s="44"/>
    </row>
    <row r="144" spans="1:11">
      <c r="A144" s="44" t="s">
        <v>340</v>
      </c>
      <c r="B144" s="44" t="s">
        <v>476</v>
      </c>
      <c r="C144" s="44" t="s">
        <v>101</v>
      </c>
      <c r="D144" s="44" t="s">
        <v>70</v>
      </c>
      <c r="E144" s="44">
        <f>E116</f>
        <v>59.45</v>
      </c>
      <c r="F144" s="45"/>
      <c r="G144" s="44"/>
      <c r="H144" s="44"/>
      <c r="I144" s="44"/>
      <c r="J144" s="44"/>
      <c r="K144" s="44"/>
    </row>
    <row r="145" spans="1:11">
      <c r="A145" s="44" t="s">
        <v>343</v>
      </c>
      <c r="B145" s="44" t="s">
        <v>8</v>
      </c>
      <c r="C145" s="44" t="s">
        <v>168</v>
      </c>
      <c r="D145" s="44" t="s">
        <v>142</v>
      </c>
      <c r="E145" s="44">
        <f>ROUND(E144*'[1]附表C-2营造林技术经济指标表'!$K$156,2)</f>
        <v>71.34</v>
      </c>
      <c r="F145" s="45"/>
      <c r="G145" s="44"/>
      <c r="H145" s="44"/>
      <c r="I145" s="44"/>
      <c r="J145" s="44"/>
      <c r="K145" s="44"/>
    </row>
    <row r="146" spans="1:11">
      <c r="A146" s="44" t="s">
        <v>346</v>
      </c>
      <c r="B146" s="44" t="s">
        <v>8</v>
      </c>
      <c r="C146" s="44" t="s">
        <v>169</v>
      </c>
      <c r="D146" s="44" t="s">
        <v>142</v>
      </c>
      <c r="E146" s="44">
        <f>ROUND(E144*'[1]附表C-2营造林技术经济指标表'!$K$156,2)</f>
        <v>71.34</v>
      </c>
      <c r="F146" s="45"/>
      <c r="G146" s="44"/>
      <c r="H146" s="44"/>
      <c r="I146" s="44"/>
      <c r="J146" s="44"/>
      <c r="K146" s="44"/>
    </row>
    <row r="147" spans="1:11">
      <c r="A147" s="44" t="s">
        <v>348</v>
      </c>
      <c r="B147" s="44" t="s">
        <v>8</v>
      </c>
      <c r="C147" s="44" t="s">
        <v>170</v>
      </c>
      <c r="D147" s="44" t="s">
        <v>296</v>
      </c>
      <c r="E147" s="44" t="s">
        <v>8</v>
      </c>
      <c r="F147" s="45"/>
      <c r="G147" s="44"/>
      <c r="H147" s="44"/>
      <c r="I147" s="44"/>
      <c r="J147" s="44"/>
      <c r="K147" s="44"/>
    </row>
    <row r="148" spans="1:11">
      <c r="A148" s="44" t="s">
        <v>521</v>
      </c>
      <c r="B148" s="44" t="s">
        <v>8</v>
      </c>
      <c r="C148" s="44" t="s">
        <v>171</v>
      </c>
      <c r="D148" s="44" t="s">
        <v>137</v>
      </c>
      <c r="E148" s="44">
        <f>ROUND(E144*'[1]附表C-2营造林技术经济指标表'!$K$141,2)</f>
        <v>7.73</v>
      </c>
      <c r="F148" s="45"/>
      <c r="G148" s="44"/>
      <c r="H148" s="44"/>
      <c r="I148" s="44"/>
      <c r="J148" s="44"/>
      <c r="K148" s="44"/>
    </row>
    <row r="149" spans="1:11">
      <c r="A149" s="44" t="s">
        <v>522</v>
      </c>
      <c r="B149" s="44" t="s">
        <v>477</v>
      </c>
      <c r="C149" s="44" t="s">
        <v>172</v>
      </c>
      <c r="D149" s="44" t="s">
        <v>70</v>
      </c>
      <c r="E149" s="44">
        <f>E116</f>
        <v>59.45</v>
      </c>
      <c r="F149" s="45"/>
      <c r="G149" s="44"/>
      <c r="H149" s="44"/>
      <c r="I149" s="45"/>
      <c r="J149" s="53"/>
      <c r="K149" s="44"/>
    </row>
    <row r="150" spans="1:11">
      <c r="A150" s="44" t="s">
        <v>523</v>
      </c>
      <c r="B150" s="44" t="s">
        <v>8</v>
      </c>
      <c r="C150" s="44" t="s">
        <v>173</v>
      </c>
      <c r="D150" s="44" t="s">
        <v>166</v>
      </c>
      <c r="E150" s="44">
        <v>3</v>
      </c>
      <c r="F150" s="45"/>
      <c r="G150" s="44"/>
      <c r="H150" s="44"/>
      <c r="I150" s="44"/>
      <c r="J150" s="44"/>
      <c r="K150" s="44"/>
    </row>
    <row r="151" spans="1:11">
      <c r="A151" s="44" t="s">
        <v>524</v>
      </c>
      <c r="B151" s="44" t="s">
        <v>8</v>
      </c>
      <c r="C151" s="44" t="s">
        <v>293</v>
      </c>
      <c r="D151" s="44" t="s">
        <v>137</v>
      </c>
      <c r="E151" s="44">
        <f>ROUND(E149*'[1]附表C-2营造林技术经济指标表'!$K$127,2)</f>
        <v>35.67</v>
      </c>
      <c r="F151" s="45"/>
      <c r="G151" s="44"/>
      <c r="H151" s="44"/>
      <c r="I151" s="44"/>
      <c r="J151" s="44"/>
      <c r="K151" s="44"/>
    </row>
    <row r="152" spans="1:11">
      <c r="A152" s="44" t="s">
        <v>525</v>
      </c>
      <c r="B152" s="44"/>
      <c r="C152" s="44" t="s">
        <v>526</v>
      </c>
      <c r="D152" s="44" t="s">
        <v>137</v>
      </c>
      <c r="E152" s="44">
        <f>ROUND(E149*'[1]附表C-2营造林技术经济指标表'!$K$137,2)</f>
        <v>12.48</v>
      </c>
      <c r="F152" s="45"/>
      <c r="G152" s="44"/>
      <c r="H152" s="44"/>
      <c r="I152" s="44"/>
      <c r="J152" s="44"/>
      <c r="K152" s="44"/>
    </row>
    <row r="153" spans="1:11">
      <c r="A153" s="44" t="s">
        <v>527</v>
      </c>
      <c r="B153" s="44"/>
      <c r="C153" s="44" t="s">
        <v>372</v>
      </c>
      <c r="D153" s="44" t="s">
        <v>137</v>
      </c>
      <c r="E153" s="44">
        <f>ROUND(E149*'[1]附表C-2营造林技术经济指标表'!$K$139,2)</f>
        <v>116.82</v>
      </c>
      <c r="F153" s="45"/>
      <c r="G153" s="44"/>
      <c r="H153" s="44"/>
      <c r="I153" s="44"/>
      <c r="J153" s="44"/>
      <c r="K153" s="44"/>
    </row>
    <row r="154" spans="1:11">
      <c r="A154" s="44" t="s">
        <v>528</v>
      </c>
      <c r="B154" s="44" t="s">
        <v>540</v>
      </c>
      <c r="C154" s="44" t="s">
        <v>95</v>
      </c>
      <c r="D154" s="44" t="s">
        <v>70</v>
      </c>
      <c r="E154" s="44">
        <f>E116</f>
        <v>59.45</v>
      </c>
      <c r="F154" s="45"/>
      <c r="G154" s="44"/>
      <c r="H154" s="44"/>
      <c r="I154" s="44"/>
      <c r="J154" s="44"/>
      <c r="K154" s="44"/>
    </row>
    <row r="155" spans="1:11">
      <c r="A155" s="44" t="s">
        <v>530</v>
      </c>
      <c r="B155" s="44"/>
      <c r="C155" s="44" t="s">
        <v>147</v>
      </c>
      <c r="D155" s="44" t="s">
        <v>148</v>
      </c>
      <c r="E155" s="44">
        <f>ROUND(E154*'[1]附表C-2营造林技术经济指标表'!$K$159,0)</f>
        <v>3567</v>
      </c>
      <c r="F155" s="45"/>
      <c r="G155" s="44"/>
      <c r="H155" s="44"/>
      <c r="I155" s="44"/>
      <c r="J155" s="44"/>
      <c r="K155" s="44"/>
    </row>
    <row r="156" spans="1:11">
      <c r="A156" s="44" t="s">
        <v>531</v>
      </c>
      <c r="B156" s="44" t="s">
        <v>479</v>
      </c>
      <c r="C156" s="44" t="s">
        <v>105</v>
      </c>
      <c r="D156" s="44" t="s">
        <v>70</v>
      </c>
      <c r="E156" s="44">
        <f>E116</f>
        <v>59.45</v>
      </c>
      <c r="F156" s="45"/>
      <c r="G156" s="44"/>
      <c r="H156" s="44"/>
      <c r="I156" s="44"/>
      <c r="J156" s="44"/>
      <c r="K156" s="44"/>
    </row>
    <row r="157" spans="1:11">
      <c r="A157" s="44" t="s">
        <v>532</v>
      </c>
      <c r="B157" s="44" t="s">
        <v>8</v>
      </c>
      <c r="C157" s="44" t="s">
        <v>175</v>
      </c>
      <c r="D157" s="44" t="s">
        <v>176</v>
      </c>
      <c r="E157" s="44">
        <v>3</v>
      </c>
      <c r="F157" s="45"/>
      <c r="G157" s="44"/>
      <c r="H157" s="44"/>
      <c r="I157" s="44"/>
      <c r="J157" s="44"/>
      <c r="K157" s="44"/>
    </row>
    <row r="158" spans="1:11">
      <c r="A158" s="44" t="s">
        <v>533</v>
      </c>
      <c r="B158" s="44" t="s">
        <v>8</v>
      </c>
      <c r="C158" s="44" t="s">
        <v>179</v>
      </c>
      <c r="D158" s="44" t="s">
        <v>180</v>
      </c>
      <c r="E158" s="44">
        <f>ROUND('[1]附表C-2营造林技术经济指标表'!$K$143/3*'[1]附表C-2营造林技术经济指标表'!$K$6,2)</f>
        <v>10.67</v>
      </c>
      <c r="F158" s="45"/>
      <c r="G158" s="44"/>
      <c r="H158" s="44"/>
      <c r="I158" s="44"/>
      <c r="J158" s="44"/>
      <c r="K158" s="44"/>
    </row>
    <row r="159" spans="1:11">
      <c r="A159" s="44" t="s">
        <v>534</v>
      </c>
      <c r="B159" s="44" t="s">
        <v>8</v>
      </c>
      <c r="C159" s="44" t="s">
        <v>181</v>
      </c>
      <c r="D159" s="44" t="s">
        <v>137</v>
      </c>
      <c r="E159" s="44">
        <f>ROUND(E156*'[1]附表C-2营造林技术经济指标表'!$K$143,2)</f>
        <v>14.86</v>
      </c>
      <c r="F159" s="45"/>
      <c r="G159" s="44"/>
      <c r="H159" s="44"/>
      <c r="I159" s="44"/>
      <c r="J159" s="44"/>
      <c r="K159" s="44"/>
    </row>
    <row r="160" spans="1:13">
      <c r="A160" s="44" t="s">
        <v>8</v>
      </c>
      <c r="B160" s="44" t="s">
        <v>8</v>
      </c>
      <c r="C160" s="44" t="s">
        <v>106</v>
      </c>
      <c r="D160" s="44" t="s">
        <v>8</v>
      </c>
      <c r="E160" s="44" t="s">
        <v>8</v>
      </c>
      <c r="F160" s="46">
        <f>SUM(F116,F124,F132,F139,F144,F149,F154,F156)</f>
        <v>60597.40644</v>
      </c>
      <c r="G160" s="46">
        <f>SUM(G116,G124,G132,G139,G144,G149,G154,G156)</f>
        <v>0</v>
      </c>
      <c r="H160" s="47" t="s">
        <v>0</v>
      </c>
      <c r="I160" s="46">
        <f>SUM(I116,I124,I132,I139,I144,I149,I154,I156)</f>
        <v>1211.95</v>
      </c>
      <c r="J160" s="46">
        <f>SUM(J116,J124,J132,J139,J144,J149,J154,J156)</f>
        <v>3029.86</v>
      </c>
      <c r="K160" s="47">
        <f>SUM(F160:J160)</f>
        <v>64839.21644</v>
      </c>
      <c r="M160" s="1">
        <f>ROUND(K160/E156,2)</f>
        <v>1090.65</v>
      </c>
    </row>
    <row r="161" ht="122.4" customHeight="1"/>
    <row r="162" spans="7:11">
      <c r="G162" s="28"/>
      <c r="H162" s="28"/>
      <c r="I162" s="28"/>
      <c r="J162" s="28"/>
      <c r="K162" s="28"/>
    </row>
    <row r="163" ht="19.8" customHeight="1" spans="1:11">
      <c r="A163" s="41" t="s">
        <v>0</v>
      </c>
      <c r="B163" s="41" t="s">
        <v>0</v>
      </c>
      <c r="C163" s="42" t="s">
        <v>77</v>
      </c>
      <c r="D163" s="42" t="s">
        <v>0</v>
      </c>
      <c r="E163" s="42" t="s">
        <v>0</v>
      </c>
      <c r="F163" s="42" t="s">
        <v>0</v>
      </c>
      <c r="G163" s="42" t="s">
        <v>0</v>
      </c>
      <c r="H163" s="42" t="s">
        <v>0</v>
      </c>
      <c r="I163" s="42" t="s">
        <v>0</v>
      </c>
      <c r="J163" s="49" t="s">
        <v>541</v>
      </c>
      <c r="K163" s="49" t="s">
        <v>0</v>
      </c>
    </row>
    <row r="164" spans="1:11">
      <c r="A164" s="43" t="s">
        <v>79</v>
      </c>
      <c r="B164" s="43" t="s">
        <v>0</v>
      </c>
      <c r="C164" s="43" t="s">
        <v>0</v>
      </c>
      <c r="D164" s="43" t="s">
        <v>0</v>
      </c>
      <c r="E164" s="43" t="s">
        <v>0</v>
      </c>
      <c r="F164" s="43" t="s">
        <v>0</v>
      </c>
      <c r="G164" s="43" t="s">
        <v>0</v>
      </c>
      <c r="H164" s="43" t="s">
        <v>0</v>
      </c>
      <c r="I164" s="43" t="s">
        <v>0</v>
      </c>
      <c r="J164" s="43" t="s">
        <v>0</v>
      </c>
      <c r="K164" s="43" t="s">
        <v>0</v>
      </c>
    </row>
    <row r="165" spans="1:13">
      <c r="A165" s="28" t="s">
        <v>22</v>
      </c>
      <c r="B165" s="28" t="s">
        <v>0</v>
      </c>
      <c r="C165" s="17" t="s">
        <v>448</v>
      </c>
      <c r="D165" s="17" t="s">
        <v>0</v>
      </c>
      <c r="E165" s="17" t="s">
        <v>0</v>
      </c>
      <c r="F165" s="17" t="s">
        <v>0</v>
      </c>
      <c r="G165" s="17" t="s">
        <v>0</v>
      </c>
      <c r="H165" s="17" t="s">
        <v>0</v>
      </c>
      <c r="I165" s="17" t="s">
        <v>0</v>
      </c>
      <c r="J165" s="17" t="s">
        <v>81</v>
      </c>
      <c r="K165" s="17" t="s">
        <v>0</v>
      </c>
      <c r="M165" s="52"/>
    </row>
    <row r="166" spans="1:11">
      <c r="A166" s="28" t="s">
        <v>82</v>
      </c>
      <c r="B166" s="28" t="s">
        <v>0</v>
      </c>
      <c r="C166" s="17" t="s">
        <v>481</v>
      </c>
      <c r="D166" s="17" t="s">
        <v>0</v>
      </c>
      <c r="E166" s="17" t="s">
        <v>0</v>
      </c>
      <c r="F166" s="17" t="s">
        <v>0</v>
      </c>
      <c r="G166" s="17" t="s">
        <v>0</v>
      </c>
      <c r="H166" s="17" t="s">
        <v>0</v>
      </c>
      <c r="I166" s="17" t="s">
        <v>0</v>
      </c>
      <c r="J166" s="17" t="str">
        <f>"工程数量："&amp;'[1]附表C-6营造林工程投资概算'!$D$15</f>
        <v>工程数量：111.11</v>
      </c>
      <c r="K166" s="17" t="s">
        <v>0</v>
      </c>
    </row>
    <row r="167" spans="1:11">
      <c r="A167" s="28" t="s">
        <v>84</v>
      </c>
      <c r="B167" s="28" t="s">
        <v>0</v>
      </c>
      <c r="C167" s="17" t="s">
        <v>482</v>
      </c>
      <c r="D167" s="17" t="s">
        <v>0</v>
      </c>
      <c r="E167" s="17" t="s">
        <v>0</v>
      </c>
      <c r="F167" s="17" t="s">
        <v>0</v>
      </c>
      <c r="G167" s="17" t="s">
        <v>0</v>
      </c>
      <c r="H167" s="17" t="s">
        <v>0</v>
      </c>
      <c r="I167" s="17" t="s">
        <v>0</v>
      </c>
      <c r="J167" s="17" t="str">
        <f>"综合单价："&amp;$M$214&amp;"元 "</f>
        <v>综合单价：979.03元 </v>
      </c>
      <c r="K167" s="17" t="s">
        <v>0</v>
      </c>
    </row>
    <row r="168" spans="1:11">
      <c r="A168" s="44" t="s">
        <v>28</v>
      </c>
      <c r="B168" s="44" t="s">
        <v>86</v>
      </c>
      <c r="C168" s="44" t="s">
        <v>87</v>
      </c>
      <c r="D168" s="44" t="s">
        <v>57</v>
      </c>
      <c r="E168" s="44" t="s">
        <v>88</v>
      </c>
      <c r="F168" s="44" t="s">
        <v>89</v>
      </c>
      <c r="G168" s="44" t="s">
        <v>0</v>
      </c>
      <c r="H168" s="44" t="s">
        <v>0</v>
      </c>
      <c r="I168" s="44" t="s">
        <v>0</v>
      </c>
      <c r="J168" s="44" t="s">
        <v>0</v>
      </c>
      <c r="K168" s="44" t="s">
        <v>0</v>
      </c>
    </row>
    <row r="169" spans="1:11">
      <c r="A169" s="44" t="s">
        <v>0</v>
      </c>
      <c r="B169" s="44" t="s">
        <v>0</v>
      </c>
      <c r="C169" s="44" t="s">
        <v>0</v>
      </c>
      <c r="D169" s="44" t="s">
        <v>0</v>
      </c>
      <c r="E169" s="44" t="s">
        <v>0</v>
      </c>
      <c r="F169" s="45" t="s">
        <v>63</v>
      </c>
      <c r="G169" s="44" t="s">
        <v>64</v>
      </c>
      <c r="H169" s="44" t="s">
        <v>65</v>
      </c>
      <c r="I169" s="44" t="s">
        <v>66</v>
      </c>
      <c r="J169" s="44" t="s">
        <v>67</v>
      </c>
      <c r="K169" s="44" t="s">
        <v>90</v>
      </c>
    </row>
    <row r="170" spans="1:11">
      <c r="A170" s="44" t="s">
        <v>68</v>
      </c>
      <c r="B170" s="44" t="s">
        <v>483</v>
      </c>
      <c r="C170" s="44" t="s">
        <v>363</v>
      </c>
      <c r="D170" s="44" t="s">
        <v>70</v>
      </c>
      <c r="E170" s="44">
        <f>'[1]附表C-6营造林工程投资概算'!$D$15</f>
        <v>111.11</v>
      </c>
      <c r="F170" s="46">
        <f>SUM(F171:F177)</f>
        <v>101663.73728</v>
      </c>
      <c r="G170" s="47" t="s">
        <v>0</v>
      </c>
      <c r="H170" s="47" t="s">
        <v>0</v>
      </c>
      <c r="I170" s="46">
        <f>SUM(I171:I177)</f>
        <v>2033.27</v>
      </c>
      <c r="J170" s="46">
        <f>SUM(J171:J177)</f>
        <v>5083.18</v>
      </c>
      <c r="K170" s="47">
        <f>SUM(F170:J170)</f>
        <v>108780.18728</v>
      </c>
    </row>
    <row r="171" spans="1:11">
      <c r="A171" s="44" t="s">
        <v>71</v>
      </c>
      <c r="B171" s="44"/>
      <c r="C171" s="10" t="s">
        <v>364</v>
      </c>
      <c r="D171" s="44" t="s">
        <v>137</v>
      </c>
      <c r="E171" s="44">
        <f>ROUND(E170*'[1]附表C-2营造林技术经济指标表'!$L$8,2)</f>
        <v>52.22</v>
      </c>
      <c r="F171" s="47">
        <v>9680.22857</v>
      </c>
      <c r="G171" s="47"/>
      <c r="H171" s="47"/>
      <c r="I171" s="47">
        <f t="shared" ref="I171" si="8">ROUND(F171*0.02,2)</f>
        <v>193.6</v>
      </c>
      <c r="J171" s="47">
        <f t="shared" ref="J171" si="9">ROUND(F171*0.05,2)</f>
        <v>484.01</v>
      </c>
      <c r="K171" s="47"/>
    </row>
    <row r="172" spans="1:11">
      <c r="A172" s="44" t="s">
        <v>73</v>
      </c>
      <c r="B172" s="44"/>
      <c r="C172" s="10" t="s">
        <v>365</v>
      </c>
      <c r="D172" s="44" t="s">
        <v>137</v>
      </c>
      <c r="E172" s="44">
        <f>ROUND(E170*'[1]附表C-2营造林技术经济指标表'!$L$9,2)</f>
        <v>18.89</v>
      </c>
      <c r="F172" s="47">
        <v>3501.36182</v>
      </c>
      <c r="G172" s="47"/>
      <c r="H172" s="47"/>
      <c r="I172" s="47">
        <f t="shared" ref="I172:I177" si="10">ROUND(F172*0.02,2)</f>
        <v>70.03</v>
      </c>
      <c r="J172" s="47">
        <f t="shared" ref="J172:J177" si="11">ROUND(F172*0.05,2)</f>
        <v>175.07</v>
      </c>
      <c r="K172" s="47"/>
    </row>
    <row r="173" spans="1:11">
      <c r="A173" s="44" t="s">
        <v>94</v>
      </c>
      <c r="B173" s="44" t="s">
        <v>8</v>
      </c>
      <c r="C173" s="10" t="s">
        <v>366</v>
      </c>
      <c r="D173" s="44" t="s">
        <v>137</v>
      </c>
      <c r="E173" s="44">
        <f>ROUND(E170*'[1]附表C-2营造林技术经济指标表'!$L$10,2)</f>
        <v>85</v>
      </c>
      <c r="F173" s="47">
        <v>15756.1202</v>
      </c>
      <c r="G173" s="47" t="s">
        <v>8</v>
      </c>
      <c r="H173" s="47" t="s">
        <v>8</v>
      </c>
      <c r="I173" s="47">
        <f t="shared" si="10"/>
        <v>315.12</v>
      </c>
      <c r="J173" s="47">
        <f t="shared" si="11"/>
        <v>787.81</v>
      </c>
      <c r="K173" s="47" t="s">
        <v>8</v>
      </c>
    </row>
    <row r="174" spans="1:11">
      <c r="A174" s="44" t="s">
        <v>96</v>
      </c>
      <c r="B174" s="44" t="s">
        <v>8</v>
      </c>
      <c r="C174" s="10" t="s">
        <v>367</v>
      </c>
      <c r="D174" s="44" t="s">
        <v>137</v>
      </c>
      <c r="E174" s="44">
        <f>ROUND(E170*'[1]附表C-2营造林技术经济指标表'!$L$11,2)</f>
        <v>277.78</v>
      </c>
      <c r="F174" s="47">
        <v>28408.6048</v>
      </c>
      <c r="G174" s="47" t="s">
        <v>8</v>
      </c>
      <c r="H174" s="47" t="s">
        <v>8</v>
      </c>
      <c r="I174" s="47">
        <f t="shared" si="10"/>
        <v>568.17</v>
      </c>
      <c r="J174" s="47">
        <f t="shared" si="11"/>
        <v>1420.43</v>
      </c>
      <c r="K174" s="47" t="s">
        <v>8</v>
      </c>
    </row>
    <row r="175" spans="1:11">
      <c r="A175" s="44" t="s">
        <v>98</v>
      </c>
      <c r="B175" s="44" t="s">
        <v>8</v>
      </c>
      <c r="C175" s="10" t="s">
        <v>384</v>
      </c>
      <c r="D175" s="44" t="s">
        <v>137</v>
      </c>
      <c r="E175" s="44">
        <f>ROUND(E170*'[1]附表C-2营造林技术经济指标表'!$L$12,2)</f>
        <v>111.11</v>
      </c>
      <c r="F175" s="47">
        <v>11363.44192</v>
      </c>
      <c r="G175" s="47" t="s">
        <v>8</v>
      </c>
      <c r="H175" s="47" t="s">
        <v>8</v>
      </c>
      <c r="I175" s="47">
        <f t="shared" si="10"/>
        <v>227.27</v>
      </c>
      <c r="J175" s="47">
        <f t="shared" si="11"/>
        <v>568.17</v>
      </c>
      <c r="K175" s="47" t="s">
        <v>8</v>
      </c>
    </row>
    <row r="176" spans="1:11">
      <c r="A176" s="44" t="s">
        <v>100</v>
      </c>
      <c r="B176" s="44" t="s">
        <v>8</v>
      </c>
      <c r="C176" s="10" t="s">
        <v>385</v>
      </c>
      <c r="D176" s="44" t="s">
        <v>137</v>
      </c>
      <c r="E176" s="44">
        <f>ROUND(E170*'[1]附表C-2营造林技术经济指标表'!$L$13,2)</f>
        <v>222.22</v>
      </c>
      <c r="F176" s="47">
        <v>22726.88384</v>
      </c>
      <c r="G176" s="47" t="s">
        <v>8</v>
      </c>
      <c r="H176" s="47" t="s">
        <v>8</v>
      </c>
      <c r="I176" s="47">
        <f t="shared" si="10"/>
        <v>454.54</v>
      </c>
      <c r="J176" s="47">
        <f t="shared" si="11"/>
        <v>1136.34</v>
      </c>
      <c r="K176" s="47" t="s">
        <v>8</v>
      </c>
    </row>
    <row r="177" spans="1:11">
      <c r="A177" s="44" t="s">
        <v>102</v>
      </c>
      <c r="B177" s="44" t="s">
        <v>8</v>
      </c>
      <c r="C177" s="10" t="s">
        <v>386</v>
      </c>
      <c r="D177" s="44" t="s">
        <v>137</v>
      </c>
      <c r="E177" s="44">
        <f>ROUND(E170*'[1]附表C-2营造林技术经济指标表'!$L$14,2)</f>
        <v>100</v>
      </c>
      <c r="F177" s="47">
        <v>10227.09613</v>
      </c>
      <c r="G177" s="47" t="s">
        <v>8</v>
      </c>
      <c r="H177" s="47" t="s">
        <v>8</v>
      </c>
      <c r="I177" s="47">
        <f t="shared" si="10"/>
        <v>204.54</v>
      </c>
      <c r="J177" s="47">
        <f t="shared" si="11"/>
        <v>511.35</v>
      </c>
      <c r="K177" s="47" t="s">
        <v>8</v>
      </c>
    </row>
    <row r="178" spans="1:11">
      <c r="A178" s="44" t="s">
        <v>104</v>
      </c>
      <c r="B178" s="44" t="s">
        <v>484</v>
      </c>
      <c r="C178" s="10" t="s">
        <v>453</v>
      </c>
      <c r="D178" s="44" t="s">
        <v>70</v>
      </c>
      <c r="E178" s="44">
        <f>E170</f>
        <v>111.11</v>
      </c>
      <c r="F178" s="46"/>
      <c r="G178" s="46"/>
      <c r="H178" s="47"/>
      <c r="I178" s="46"/>
      <c r="J178" s="46"/>
      <c r="K178" s="47"/>
    </row>
    <row r="179" spans="1:11">
      <c r="A179" s="44" t="s">
        <v>306</v>
      </c>
      <c r="B179" s="44" t="s">
        <v>8</v>
      </c>
      <c r="C179" s="10" t="s">
        <v>91</v>
      </c>
      <c r="D179" s="44" t="s">
        <v>137</v>
      </c>
      <c r="E179" s="44">
        <f>ROUND(E178*'[1]附表C-2营造林技术经济指标表'!$L$115,2)</f>
        <v>8.89</v>
      </c>
      <c r="F179" s="45"/>
      <c r="G179" s="44"/>
      <c r="H179" s="44"/>
      <c r="I179" s="44"/>
      <c r="J179" s="44"/>
      <c r="K179" s="44"/>
    </row>
    <row r="180" spans="1:11">
      <c r="A180" s="44" t="s">
        <v>146</v>
      </c>
      <c r="B180" s="44" t="s">
        <v>8</v>
      </c>
      <c r="C180" s="10" t="s">
        <v>92</v>
      </c>
      <c r="D180" s="44" t="s">
        <v>137</v>
      </c>
      <c r="E180" s="44">
        <f>ROUND(E178*'[1]附表C-2营造林技术经济指标表'!$L$117,2)</f>
        <v>79.17</v>
      </c>
      <c r="F180" s="45"/>
      <c r="G180" s="44"/>
      <c r="H180" s="44"/>
      <c r="I180" s="44"/>
      <c r="J180" s="44"/>
      <c r="K180" s="44"/>
    </row>
    <row r="181" spans="1:11">
      <c r="A181" s="44" t="s">
        <v>149</v>
      </c>
      <c r="B181" s="44" t="s">
        <v>8</v>
      </c>
      <c r="C181" s="10" t="s">
        <v>514</v>
      </c>
      <c r="D181" s="44" t="s">
        <v>137</v>
      </c>
      <c r="E181" s="44">
        <f>ROUND(E178*('[1]附表C-2营造林技术经济指标表'!$L$123+'[1]附表C-2营造林技术经济指标表'!$L$125),2)</f>
        <v>122.22</v>
      </c>
      <c r="F181" s="45"/>
      <c r="G181" s="44"/>
      <c r="H181" s="44"/>
      <c r="I181" s="44"/>
      <c r="J181" s="44"/>
      <c r="K181" s="44"/>
    </row>
    <row r="182" spans="1:11">
      <c r="A182" s="44" t="s">
        <v>152</v>
      </c>
      <c r="B182" s="44" t="s">
        <v>8</v>
      </c>
      <c r="C182" s="10" t="s">
        <v>515</v>
      </c>
      <c r="D182" s="44" t="s">
        <v>156</v>
      </c>
      <c r="E182" s="44">
        <f>ROUND(E178*'[1]附表C-2营造林技术经济指标表'!$L$16,2)</f>
        <v>2222.2</v>
      </c>
      <c r="F182" s="45"/>
      <c r="G182" s="44"/>
      <c r="H182" s="44"/>
      <c r="I182" s="44"/>
      <c r="J182" s="44"/>
      <c r="K182" s="44"/>
    </row>
    <row r="183" spans="1:11">
      <c r="A183" s="44" t="s">
        <v>154</v>
      </c>
      <c r="B183" s="44" t="s">
        <v>8</v>
      </c>
      <c r="C183" s="10" t="s">
        <v>516</v>
      </c>
      <c r="D183" s="44" t="s">
        <v>156</v>
      </c>
      <c r="E183" s="44">
        <f>ROUND(E178*'[1]附表C-2营造林技术经济指标表'!$L$17,2)</f>
        <v>222.22</v>
      </c>
      <c r="F183" s="45"/>
      <c r="G183" s="44"/>
      <c r="H183" s="44"/>
      <c r="I183" s="44"/>
      <c r="J183" s="44"/>
      <c r="K183" s="44"/>
    </row>
    <row r="184" spans="1:11">
      <c r="A184" s="44" t="s">
        <v>157</v>
      </c>
      <c r="B184" s="44" t="s">
        <v>8</v>
      </c>
      <c r="C184" s="10" t="s">
        <v>517</v>
      </c>
      <c r="D184" s="44" t="s">
        <v>156</v>
      </c>
      <c r="E184" s="44">
        <f>E182+E183</f>
        <v>2444.42</v>
      </c>
      <c r="F184" s="45"/>
      <c r="G184" s="44"/>
      <c r="H184" s="44"/>
      <c r="I184" s="44"/>
      <c r="J184" s="44"/>
      <c r="K184" s="44"/>
    </row>
    <row r="185" spans="1:11">
      <c r="A185" s="44" t="s">
        <v>313</v>
      </c>
      <c r="B185" s="44" t="s">
        <v>8</v>
      </c>
      <c r="C185" s="10" t="s">
        <v>518</v>
      </c>
      <c r="D185" s="44" t="s">
        <v>137</v>
      </c>
      <c r="E185" s="44">
        <f>ROUND(E178*'[1]附表C-2营造林技术经济指标表'!$L$119,2)</f>
        <v>7.78</v>
      </c>
      <c r="F185" s="45"/>
      <c r="G185" s="44"/>
      <c r="H185" s="44"/>
      <c r="I185" s="44"/>
      <c r="J185" s="44"/>
      <c r="K185" s="44"/>
    </row>
    <row r="186" spans="1:11">
      <c r="A186" s="44" t="s">
        <v>315</v>
      </c>
      <c r="B186" s="44" t="s">
        <v>485</v>
      </c>
      <c r="C186" s="10" t="s">
        <v>93</v>
      </c>
      <c r="D186" s="44" t="s">
        <v>70</v>
      </c>
      <c r="E186" s="44">
        <f>E170</f>
        <v>111.11</v>
      </c>
      <c r="F186" s="45"/>
      <c r="G186" s="44"/>
      <c r="H186" s="44"/>
      <c r="I186" s="44"/>
      <c r="J186" s="44"/>
      <c r="K186" s="44"/>
    </row>
    <row r="187" spans="1:11">
      <c r="A187" s="44" t="s">
        <v>317</v>
      </c>
      <c r="B187" s="44" t="s">
        <v>8</v>
      </c>
      <c r="C187" s="10" t="s">
        <v>519</v>
      </c>
      <c r="D187" s="44" t="s">
        <v>142</v>
      </c>
      <c r="E187" s="44">
        <f>ROUND(E186*'[1]附表C-2营造林技术经济指标表'!$L$82*1000,2)</f>
        <v>4444.4</v>
      </c>
      <c r="F187" s="45"/>
      <c r="G187" s="44"/>
      <c r="H187" s="44"/>
      <c r="I187" s="44"/>
      <c r="J187" s="44"/>
      <c r="K187" s="44"/>
    </row>
    <row r="188" ht="132.6" customHeight="1" spans="1:1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17" t="s">
        <v>0</v>
      </c>
      <c r="B189" s="17" t="s">
        <v>0</v>
      </c>
      <c r="C189" s="17" t="s">
        <v>0</v>
      </c>
      <c r="D189" s="17" t="s">
        <v>0</v>
      </c>
      <c r="E189" s="17" t="s">
        <v>0</v>
      </c>
      <c r="F189" s="17" t="s">
        <v>0</v>
      </c>
      <c r="G189" s="28"/>
      <c r="H189" s="28"/>
      <c r="I189" s="28"/>
      <c r="J189" s="28"/>
      <c r="K189" s="28"/>
    </row>
    <row r="190" ht="27.6" customHeight="1" spans="1:11">
      <c r="A190" s="41" t="s">
        <v>0</v>
      </c>
      <c r="B190" s="41" t="s">
        <v>0</v>
      </c>
      <c r="C190" s="42" t="s">
        <v>77</v>
      </c>
      <c r="D190" s="42" t="s">
        <v>0</v>
      </c>
      <c r="E190" s="42" t="s">
        <v>0</v>
      </c>
      <c r="F190" s="42" t="s">
        <v>0</v>
      </c>
      <c r="G190" s="42" t="s">
        <v>0</v>
      </c>
      <c r="H190" s="42" t="s">
        <v>0</v>
      </c>
      <c r="I190" s="42" t="s">
        <v>0</v>
      </c>
      <c r="J190" s="49" t="s">
        <v>542</v>
      </c>
      <c r="K190" s="49" t="s">
        <v>0</v>
      </c>
    </row>
    <row r="191" spans="1:11">
      <c r="A191" s="44" t="s">
        <v>319</v>
      </c>
      <c r="B191" s="44" t="s">
        <v>8</v>
      </c>
      <c r="C191" s="44" t="s">
        <v>143</v>
      </c>
      <c r="D191" s="44" t="s">
        <v>142</v>
      </c>
      <c r="E191" s="44">
        <f>ROUND(E186*'[1]附表C-2营造林技术经济指标表'!$L$82*1000,2)</f>
        <v>4444.4</v>
      </c>
      <c r="F191" s="45"/>
      <c r="G191" s="44"/>
      <c r="H191" s="44"/>
      <c r="I191" s="44"/>
      <c r="J191" s="44"/>
      <c r="K191" s="44"/>
    </row>
    <row r="192" spans="1:11">
      <c r="A192" s="44" t="s">
        <v>321</v>
      </c>
      <c r="B192" s="44" t="s">
        <v>8</v>
      </c>
      <c r="C192" s="44" t="s">
        <v>144</v>
      </c>
      <c r="D192" s="44" t="s">
        <v>137</v>
      </c>
      <c r="E192" s="44">
        <f>ROUND(E186*'[1]附表C-2营造林技术经济指标表'!$L$121,2)</f>
        <v>14.44</v>
      </c>
      <c r="F192" s="45"/>
      <c r="G192" s="44"/>
      <c r="H192" s="44"/>
      <c r="I192" s="44"/>
      <c r="J192" s="44"/>
      <c r="K192" s="44"/>
    </row>
    <row r="193" spans="1:11">
      <c r="A193" s="44" t="s">
        <v>323</v>
      </c>
      <c r="B193" s="44" t="s">
        <v>486</v>
      </c>
      <c r="C193" s="44" t="s">
        <v>99</v>
      </c>
      <c r="D193" s="44" t="s">
        <v>70</v>
      </c>
      <c r="E193" s="44">
        <f>E170</f>
        <v>111.11</v>
      </c>
      <c r="F193" s="45"/>
      <c r="G193" s="44"/>
      <c r="H193" s="44"/>
      <c r="I193" s="44"/>
      <c r="J193" s="44"/>
      <c r="K193" s="44"/>
    </row>
    <row r="194" spans="1:11">
      <c r="A194" s="44" t="s">
        <v>327</v>
      </c>
      <c r="B194" s="44" t="s">
        <v>8</v>
      </c>
      <c r="C194" s="44" t="s">
        <v>519</v>
      </c>
      <c r="D194" s="44" t="s">
        <v>142</v>
      </c>
      <c r="E194" s="44">
        <f>ROUND(E193*'[1]附表C-2营造林技术经济指标表'!$L$91,2)</f>
        <v>6.67</v>
      </c>
      <c r="F194" s="45"/>
      <c r="G194" s="44"/>
      <c r="H194" s="44"/>
      <c r="I194" s="44"/>
      <c r="J194" s="44"/>
      <c r="K194" s="44"/>
    </row>
    <row r="195" spans="1:11">
      <c r="A195" s="44" t="s">
        <v>330</v>
      </c>
      <c r="B195" s="44" t="s">
        <v>8</v>
      </c>
      <c r="C195" s="44" t="s">
        <v>164</v>
      </c>
      <c r="D195" s="44" t="s">
        <v>142</v>
      </c>
      <c r="E195" s="44">
        <f>ROUND(E193*'[1]附表C-2营造林技术经济指标表'!$L$91,2)</f>
        <v>6.67</v>
      </c>
      <c r="F195" s="45"/>
      <c r="G195" s="44"/>
      <c r="H195" s="44"/>
      <c r="I195" s="44"/>
      <c r="J195" s="44"/>
      <c r="K195" s="44"/>
    </row>
    <row r="196" spans="1:11">
      <c r="A196" s="44" t="s">
        <v>333</v>
      </c>
      <c r="B196" s="44" t="s">
        <v>8</v>
      </c>
      <c r="C196" s="44" t="s">
        <v>165</v>
      </c>
      <c r="D196" s="44" t="s">
        <v>166</v>
      </c>
      <c r="E196" s="44">
        <v>3</v>
      </c>
      <c r="F196" s="45"/>
      <c r="G196" s="44"/>
      <c r="H196" s="44"/>
      <c r="I196" s="44"/>
      <c r="J196" s="44"/>
      <c r="K196" s="44"/>
    </row>
    <row r="197" spans="1:11">
      <c r="A197" s="44" t="s">
        <v>336</v>
      </c>
      <c r="B197" s="44" t="s">
        <v>8</v>
      </c>
      <c r="C197" s="44" t="s">
        <v>167</v>
      </c>
      <c r="D197" s="44" t="s">
        <v>137</v>
      </c>
      <c r="E197" s="44">
        <f>ROUND(E193*'[1]附表C-2营造林技术经济指标表'!$L$135,2)</f>
        <v>44.44</v>
      </c>
      <c r="F197" s="45"/>
      <c r="G197" s="44"/>
      <c r="H197" s="44"/>
      <c r="I197" s="44"/>
      <c r="J197" s="44"/>
      <c r="K197" s="44"/>
    </row>
    <row r="198" spans="1:11">
      <c r="A198" s="44" t="s">
        <v>340</v>
      </c>
      <c r="B198" s="44" t="s">
        <v>487</v>
      </c>
      <c r="C198" s="44" t="s">
        <v>101</v>
      </c>
      <c r="D198" s="44" t="s">
        <v>70</v>
      </c>
      <c r="E198" s="44">
        <f>E170</f>
        <v>111.11</v>
      </c>
      <c r="F198" s="45"/>
      <c r="G198" s="44"/>
      <c r="H198" s="44"/>
      <c r="I198" s="44"/>
      <c r="J198" s="44"/>
      <c r="K198" s="44"/>
    </row>
    <row r="199" spans="1:11">
      <c r="A199" s="44" t="s">
        <v>343</v>
      </c>
      <c r="B199" s="44" t="s">
        <v>8</v>
      </c>
      <c r="C199" s="44" t="s">
        <v>168</v>
      </c>
      <c r="D199" s="44" t="s">
        <v>142</v>
      </c>
      <c r="E199" s="44">
        <f>ROUND(E198*'[1]附表C-2营造林技术经济指标表'!$L$156,2)</f>
        <v>133.33</v>
      </c>
      <c r="F199" s="45"/>
      <c r="G199" s="44"/>
      <c r="H199" s="44"/>
      <c r="I199" s="44"/>
      <c r="J199" s="44"/>
      <c r="K199" s="44"/>
    </row>
    <row r="200" spans="1:11">
      <c r="A200" s="44" t="s">
        <v>346</v>
      </c>
      <c r="B200" s="44" t="s">
        <v>8</v>
      </c>
      <c r="C200" s="44" t="s">
        <v>169</v>
      </c>
      <c r="D200" s="44" t="s">
        <v>142</v>
      </c>
      <c r="E200" s="44">
        <f>ROUND(E198*'[1]附表C-2营造林技术经济指标表'!$L$156,2)</f>
        <v>133.33</v>
      </c>
      <c r="F200" s="45"/>
      <c r="G200" s="44"/>
      <c r="H200" s="44"/>
      <c r="I200" s="44"/>
      <c r="J200" s="44"/>
      <c r="K200" s="44"/>
    </row>
    <row r="201" spans="1:11">
      <c r="A201" s="44" t="s">
        <v>348</v>
      </c>
      <c r="B201" s="44" t="s">
        <v>8</v>
      </c>
      <c r="C201" s="44" t="s">
        <v>170</v>
      </c>
      <c r="D201" s="44" t="s">
        <v>296</v>
      </c>
      <c r="E201" s="44" t="s">
        <v>8</v>
      </c>
      <c r="F201" s="45"/>
      <c r="G201" s="44"/>
      <c r="H201" s="44"/>
      <c r="I201" s="44"/>
      <c r="J201" s="44"/>
      <c r="K201" s="44"/>
    </row>
    <row r="202" spans="1:11">
      <c r="A202" s="44" t="s">
        <v>521</v>
      </c>
      <c r="B202" s="44" t="s">
        <v>8</v>
      </c>
      <c r="C202" s="44" t="s">
        <v>171</v>
      </c>
      <c r="D202" s="44" t="s">
        <v>137</v>
      </c>
      <c r="E202" s="44">
        <f>ROUND(E198*'[1]附表C-2营造林技术经济指标表'!$L$141,2)</f>
        <v>14.44</v>
      </c>
      <c r="F202" s="45"/>
      <c r="G202" s="44"/>
      <c r="H202" s="44"/>
      <c r="I202" s="44"/>
      <c r="J202" s="44"/>
      <c r="K202" s="44"/>
    </row>
    <row r="203" spans="1:11">
      <c r="A203" s="44" t="s">
        <v>522</v>
      </c>
      <c r="B203" s="44" t="s">
        <v>488</v>
      </c>
      <c r="C203" s="44" t="s">
        <v>172</v>
      </c>
      <c r="D203" s="44" t="s">
        <v>70</v>
      </c>
      <c r="E203" s="44">
        <f>E170</f>
        <v>111.11</v>
      </c>
      <c r="F203" s="45"/>
      <c r="G203" s="44"/>
      <c r="H203" s="44"/>
      <c r="I203" s="45"/>
      <c r="J203" s="45"/>
      <c r="K203" s="44"/>
    </row>
    <row r="204" spans="1:11">
      <c r="A204" s="44" t="s">
        <v>523</v>
      </c>
      <c r="B204" s="44" t="s">
        <v>8</v>
      </c>
      <c r="C204" s="44" t="s">
        <v>173</v>
      </c>
      <c r="D204" s="44" t="s">
        <v>166</v>
      </c>
      <c r="E204" s="44">
        <v>3</v>
      </c>
      <c r="F204" s="45"/>
      <c r="G204" s="44"/>
      <c r="H204" s="44"/>
      <c r="I204" s="44"/>
      <c r="J204" s="44"/>
      <c r="K204" s="44"/>
    </row>
    <row r="205" spans="1:11">
      <c r="A205" s="44" t="s">
        <v>524</v>
      </c>
      <c r="B205" s="44" t="s">
        <v>8</v>
      </c>
      <c r="C205" s="44" t="s">
        <v>293</v>
      </c>
      <c r="D205" s="44" t="s">
        <v>137</v>
      </c>
      <c r="E205" s="44">
        <f>ROUND(E203*'[1]附表C-2营造林技术经济指标表'!$L$127,2)</f>
        <v>66.67</v>
      </c>
      <c r="F205" s="45"/>
      <c r="G205" s="44"/>
      <c r="H205" s="44"/>
      <c r="I205" s="44"/>
      <c r="J205" s="44"/>
      <c r="K205" s="44"/>
    </row>
    <row r="206" spans="1:11">
      <c r="A206" s="44" t="s">
        <v>525</v>
      </c>
      <c r="B206" s="44"/>
      <c r="C206" s="44" t="s">
        <v>526</v>
      </c>
      <c r="D206" s="44" t="s">
        <v>137</v>
      </c>
      <c r="E206" s="44">
        <f>ROUND(E203*'[1]附表C-2营造林技术经济指标表'!$L$137,2)</f>
        <v>23.33</v>
      </c>
      <c r="F206" s="45"/>
      <c r="G206" s="44"/>
      <c r="H206" s="44"/>
      <c r="I206" s="44"/>
      <c r="J206" s="44"/>
      <c r="K206" s="44"/>
    </row>
    <row r="207" spans="1:11">
      <c r="A207" s="44" t="s">
        <v>527</v>
      </c>
      <c r="B207" s="44"/>
      <c r="C207" s="44" t="s">
        <v>372</v>
      </c>
      <c r="D207" s="44" t="s">
        <v>137</v>
      </c>
      <c r="E207" s="44">
        <f>ROUND(E203*'[1]附表C-2营造林技术经济指标表'!$L$139,2)</f>
        <v>218.33</v>
      </c>
      <c r="F207" s="45"/>
      <c r="G207" s="44"/>
      <c r="H207" s="44"/>
      <c r="I207" s="44"/>
      <c r="J207" s="44"/>
      <c r="K207" s="44"/>
    </row>
    <row r="208" spans="1:11">
      <c r="A208" s="44" t="s">
        <v>528</v>
      </c>
      <c r="B208" s="44" t="s">
        <v>478</v>
      </c>
      <c r="C208" s="44" t="s">
        <v>95</v>
      </c>
      <c r="D208" s="44" t="s">
        <v>70</v>
      </c>
      <c r="E208" s="44">
        <f>E170</f>
        <v>111.11</v>
      </c>
      <c r="F208" s="45"/>
      <c r="G208" s="44"/>
      <c r="H208" s="44"/>
      <c r="I208" s="44"/>
      <c r="J208" s="44"/>
      <c r="K208" s="44"/>
    </row>
    <row r="209" spans="1:11">
      <c r="A209" s="44" t="s">
        <v>530</v>
      </c>
      <c r="B209" s="44"/>
      <c r="C209" s="44" t="s">
        <v>147</v>
      </c>
      <c r="D209" s="44" t="s">
        <v>148</v>
      </c>
      <c r="E209" s="44">
        <f>ROUND(E208*'[1]附表C-2营造林技术经济指标表'!$L$159,0)</f>
        <v>6667</v>
      </c>
      <c r="F209" s="45"/>
      <c r="G209" s="44"/>
      <c r="H209" s="44"/>
      <c r="I209" s="44"/>
      <c r="J209" s="44"/>
      <c r="K209" s="44"/>
    </row>
    <row r="210" spans="1:11">
      <c r="A210" s="44" t="s">
        <v>531</v>
      </c>
      <c r="B210" s="44" t="s">
        <v>489</v>
      </c>
      <c r="C210" s="44" t="s">
        <v>105</v>
      </c>
      <c r="D210" s="44" t="s">
        <v>70</v>
      </c>
      <c r="E210" s="44">
        <f>E170</f>
        <v>111.11</v>
      </c>
      <c r="F210" s="45"/>
      <c r="G210" s="44"/>
      <c r="H210" s="44"/>
      <c r="I210" s="44"/>
      <c r="J210" s="44"/>
      <c r="K210" s="44"/>
    </row>
    <row r="211" spans="1:11">
      <c r="A211" s="44" t="s">
        <v>532</v>
      </c>
      <c r="B211" s="44" t="s">
        <v>8</v>
      </c>
      <c r="C211" s="44" t="s">
        <v>175</v>
      </c>
      <c r="D211" s="44" t="s">
        <v>176</v>
      </c>
      <c r="E211" s="44">
        <v>3</v>
      </c>
      <c r="F211" s="45"/>
      <c r="G211" s="44"/>
      <c r="H211" s="44"/>
      <c r="I211" s="44"/>
      <c r="J211" s="44"/>
      <c r="K211" s="44"/>
    </row>
    <row r="212" spans="1:11">
      <c r="A212" s="44" t="s">
        <v>533</v>
      </c>
      <c r="B212" s="44" t="s">
        <v>8</v>
      </c>
      <c r="C212" s="44" t="s">
        <v>179</v>
      </c>
      <c r="D212" s="44" t="s">
        <v>180</v>
      </c>
      <c r="E212" s="44">
        <f>ROUND('[1]附表C-2营造林技术经济指标表'!$L$143/3*'[1]附表C-2营造林技术经济指标表'!$L$6,2)</f>
        <v>10.67</v>
      </c>
      <c r="F212" s="45"/>
      <c r="G212" s="44"/>
      <c r="H212" s="44"/>
      <c r="I212" s="44"/>
      <c r="J212" s="44"/>
      <c r="K212" s="44"/>
    </row>
    <row r="213" spans="1:11">
      <c r="A213" s="44" t="s">
        <v>534</v>
      </c>
      <c r="B213" s="44" t="s">
        <v>8</v>
      </c>
      <c r="C213" s="44" t="s">
        <v>181</v>
      </c>
      <c r="D213" s="44" t="s">
        <v>137</v>
      </c>
      <c r="E213" s="44">
        <f>ROUND(E210*'[1]附表C-2营造林技术经济指标表'!$L$143,2)</f>
        <v>27.78</v>
      </c>
      <c r="F213" s="45"/>
      <c r="G213" s="44"/>
      <c r="H213" s="44"/>
      <c r="I213" s="44"/>
      <c r="J213" s="44"/>
      <c r="K213" s="44"/>
    </row>
    <row r="214" spans="1:13">
      <c r="A214" s="44" t="s">
        <v>8</v>
      </c>
      <c r="B214" s="44" t="s">
        <v>8</v>
      </c>
      <c r="C214" s="44" t="s">
        <v>106</v>
      </c>
      <c r="D214" s="44" t="s">
        <v>8</v>
      </c>
      <c r="E214" s="44" t="s">
        <v>8</v>
      </c>
      <c r="F214" s="46">
        <f>SUM(F170,F178,F186,F193,F198,F203,F208,F210)</f>
        <v>101663.73728</v>
      </c>
      <c r="G214" s="46">
        <f>SUM(G170,G178,G186,G193,G198,G203,G208,G210)</f>
        <v>0</v>
      </c>
      <c r="H214" s="47" t="s">
        <v>0</v>
      </c>
      <c r="I214" s="46">
        <f>SUM(I170,I178,I186,I193,I198,I203,I208,I210)</f>
        <v>2033.27</v>
      </c>
      <c r="J214" s="46">
        <f>SUM(J170,J178,J186,J193,J198,J203,J208,J210)</f>
        <v>5083.18</v>
      </c>
      <c r="K214" s="47">
        <f>SUM(F214:J214)</f>
        <v>108780.18728</v>
      </c>
      <c r="M214" s="1">
        <f>ROUND(K214/E210,2)</f>
        <v>979.03</v>
      </c>
    </row>
    <row r="215" ht="124.8" customHeight="1"/>
    <row r="216" spans="7:11">
      <c r="G216" s="28"/>
      <c r="H216" s="28"/>
      <c r="I216" s="28"/>
      <c r="J216" s="28"/>
      <c r="K216" s="28"/>
    </row>
    <row r="217" ht="19.2" customHeight="1" spans="1:11">
      <c r="A217" s="41" t="s">
        <v>0</v>
      </c>
      <c r="B217" s="41" t="s">
        <v>0</v>
      </c>
      <c r="C217" s="51" t="s">
        <v>77</v>
      </c>
      <c r="D217" s="51" t="s">
        <v>0</v>
      </c>
      <c r="E217" s="51" t="s">
        <v>0</v>
      </c>
      <c r="F217" s="51" t="s">
        <v>0</v>
      </c>
      <c r="G217" s="51" t="s">
        <v>0</v>
      </c>
      <c r="H217" s="51" t="s">
        <v>0</v>
      </c>
      <c r="I217" s="51" t="s">
        <v>0</v>
      </c>
      <c r="J217" s="49" t="s">
        <v>543</v>
      </c>
      <c r="K217" s="49" t="s">
        <v>0</v>
      </c>
    </row>
    <row r="218" spans="1:11">
      <c r="A218" s="43" t="s">
        <v>79</v>
      </c>
      <c r="B218" s="43" t="s">
        <v>0</v>
      </c>
      <c r="C218" s="43" t="s">
        <v>0</v>
      </c>
      <c r="D218" s="43" t="s">
        <v>0</v>
      </c>
      <c r="E218" s="43" t="s">
        <v>0</v>
      </c>
      <c r="F218" s="43" t="s">
        <v>0</v>
      </c>
      <c r="G218" s="43" t="s">
        <v>0</v>
      </c>
      <c r="H218" s="43" t="s">
        <v>0</v>
      </c>
      <c r="I218" s="43" t="s">
        <v>0</v>
      </c>
      <c r="J218" s="43" t="s">
        <v>0</v>
      </c>
      <c r="K218" s="43" t="s">
        <v>0</v>
      </c>
    </row>
    <row r="219" spans="1:13">
      <c r="A219" s="28" t="s">
        <v>22</v>
      </c>
      <c r="B219" s="28" t="s">
        <v>0</v>
      </c>
      <c r="C219" s="17" t="s">
        <v>448</v>
      </c>
      <c r="D219" s="17" t="s">
        <v>0</v>
      </c>
      <c r="E219" s="17" t="s">
        <v>0</v>
      </c>
      <c r="F219" s="17" t="s">
        <v>0</v>
      </c>
      <c r="G219" s="17" t="s">
        <v>0</v>
      </c>
      <c r="H219" s="17" t="s">
        <v>0</v>
      </c>
      <c r="I219" s="17" t="s">
        <v>0</v>
      </c>
      <c r="J219" s="17" t="s">
        <v>81</v>
      </c>
      <c r="K219" s="17" t="s">
        <v>0</v>
      </c>
      <c r="M219" s="52"/>
    </row>
    <row r="220" spans="1:11">
      <c r="A220" s="28" t="s">
        <v>82</v>
      </c>
      <c r="B220" s="28" t="s">
        <v>0</v>
      </c>
      <c r="C220" s="17" t="s">
        <v>491</v>
      </c>
      <c r="D220" s="17" t="s">
        <v>0</v>
      </c>
      <c r="E220" s="17" t="s">
        <v>0</v>
      </c>
      <c r="F220" s="17" t="s">
        <v>0</v>
      </c>
      <c r="G220" s="17" t="s">
        <v>0</v>
      </c>
      <c r="H220" s="17" t="s">
        <v>0</v>
      </c>
      <c r="I220" s="17" t="s">
        <v>0</v>
      </c>
      <c r="J220" s="17" t="str">
        <f>"工程数量："&amp;'[1]附表C-6营造林工程投资概算'!$D$16</f>
        <v>工程数量：224.18</v>
      </c>
      <c r="K220" s="17" t="s">
        <v>0</v>
      </c>
    </row>
    <row r="221" ht="22.2" customHeight="1" spans="1:11">
      <c r="A221" s="28" t="s">
        <v>84</v>
      </c>
      <c r="B221" s="28" t="s">
        <v>0</v>
      </c>
      <c r="C221" s="17" t="s">
        <v>492</v>
      </c>
      <c r="D221" s="17" t="s">
        <v>0</v>
      </c>
      <c r="E221" s="17" t="s">
        <v>0</v>
      </c>
      <c r="F221" s="17" t="s">
        <v>0</v>
      </c>
      <c r="G221" s="17" t="s">
        <v>0</v>
      </c>
      <c r="H221" s="17" t="s">
        <v>0</v>
      </c>
      <c r="I221" s="17" t="s">
        <v>0</v>
      </c>
      <c r="J221" s="17" t="str">
        <f>"综合单价："&amp;M268&amp;"元 "</f>
        <v>综合单价：1090.65元 </v>
      </c>
      <c r="K221" s="17" t="s">
        <v>0</v>
      </c>
    </row>
    <row r="222" spans="1:11">
      <c r="A222" s="44" t="s">
        <v>28</v>
      </c>
      <c r="B222" s="44" t="s">
        <v>86</v>
      </c>
      <c r="C222" s="44" t="s">
        <v>87</v>
      </c>
      <c r="D222" s="44" t="s">
        <v>57</v>
      </c>
      <c r="E222" s="44" t="s">
        <v>88</v>
      </c>
      <c r="F222" s="44" t="s">
        <v>89</v>
      </c>
      <c r="G222" s="44" t="s">
        <v>0</v>
      </c>
      <c r="H222" s="44" t="s">
        <v>0</v>
      </c>
      <c r="I222" s="44" t="s">
        <v>0</v>
      </c>
      <c r="J222" s="44" t="s">
        <v>0</v>
      </c>
      <c r="K222" s="44" t="s">
        <v>0</v>
      </c>
    </row>
    <row r="223" spans="1:11">
      <c r="A223" s="44" t="s">
        <v>0</v>
      </c>
      <c r="B223" s="44" t="s">
        <v>0</v>
      </c>
      <c r="C223" s="44" t="s">
        <v>0</v>
      </c>
      <c r="D223" s="44" t="s">
        <v>0</v>
      </c>
      <c r="E223" s="44" t="s">
        <v>0</v>
      </c>
      <c r="F223" s="45" t="s">
        <v>63</v>
      </c>
      <c r="G223" s="44" t="s">
        <v>64</v>
      </c>
      <c r="H223" s="44" t="s">
        <v>65</v>
      </c>
      <c r="I223" s="44" t="s">
        <v>66</v>
      </c>
      <c r="J223" s="44" t="s">
        <v>67</v>
      </c>
      <c r="K223" s="44" t="s">
        <v>90</v>
      </c>
    </row>
    <row r="224" spans="1:11">
      <c r="A224" s="44" t="s">
        <v>68</v>
      </c>
      <c r="B224" s="44" t="s">
        <v>493</v>
      </c>
      <c r="C224" s="44" t="s">
        <v>363</v>
      </c>
      <c r="D224" s="44" t="s">
        <v>70</v>
      </c>
      <c r="E224" s="44">
        <f>'[1]附表C-6营造林工程投资概算'!$D$16</f>
        <v>224.18</v>
      </c>
      <c r="F224" s="46">
        <f>SUM(F225:F231)</f>
        <v>228506.74508</v>
      </c>
      <c r="G224" s="47" t="s">
        <v>0</v>
      </c>
      <c r="H224" s="47" t="s">
        <v>0</v>
      </c>
      <c r="I224" s="46">
        <f>SUM(I225:I231)</f>
        <v>4570.13</v>
      </c>
      <c r="J224" s="46">
        <f>SUM(J225:J231)</f>
        <v>11425.33</v>
      </c>
      <c r="K224" s="47">
        <f>SUM(F224:J224)</f>
        <v>244502.20508</v>
      </c>
    </row>
    <row r="225" spans="1:11">
      <c r="A225" s="44" t="s">
        <v>71</v>
      </c>
      <c r="B225" s="44"/>
      <c r="C225" s="10" t="s">
        <v>364</v>
      </c>
      <c r="D225" s="44" t="s">
        <v>137</v>
      </c>
      <c r="E225" s="44">
        <f>ROUND(E224*'[1]附表C-2营造林技术经济指标表'!$M$8,2)</f>
        <v>105.36</v>
      </c>
      <c r="F225" s="47">
        <v>19531.22741</v>
      </c>
      <c r="G225" s="47"/>
      <c r="H225" s="47"/>
      <c r="I225" s="47">
        <f t="shared" ref="I225" si="12">ROUND(F225*0.02,2)</f>
        <v>390.62</v>
      </c>
      <c r="J225" s="47">
        <f t="shared" ref="J225" si="13">ROUND(F225*0.05,2)</f>
        <v>976.56</v>
      </c>
      <c r="K225" s="47"/>
    </row>
    <row r="226" spans="1:11">
      <c r="A226" s="44" t="s">
        <v>73</v>
      </c>
      <c r="B226" s="44"/>
      <c r="C226" s="10" t="s">
        <v>365</v>
      </c>
      <c r="D226" s="44" t="s">
        <v>137</v>
      </c>
      <c r="E226" s="44">
        <f>ROUND(E224*'[1]附表C-2营造林技术经济指标表'!$M$9,2)</f>
        <v>38.11</v>
      </c>
      <c r="F226" s="47">
        <v>7064.48634</v>
      </c>
      <c r="G226" s="47"/>
      <c r="H226" s="47"/>
      <c r="I226" s="47">
        <f t="shared" ref="I226:I231" si="14">ROUND(F226*0.02,2)</f>
        <v>141.29</v>
      </c>
      <c r="J226" s="47">
        <f t="shared" ref="J226:J231" si="15">ROUND(F226*0.05,2)</f>
        <v>353.22</v>
      </c>
      <c r="K226" s="47"/>
    </row>
    <row r="227" spans="1:11">
      <c r="A227" s="44" t="s">
        <v>94</v>
      </c>
      <c r="B227" s="44" t="s">
        <v>8</v>
      </c>
      <c r="C227" s="10" t="s">
        <v>366</v>
      </c>
      <c r="D227" s="44" t="s">
        <v>137</v>
      </c>
      <c r="E227" s="44">
        <f>ROUND(E224*'[1]附表C-2营造林技术经济指标表'!$M$10,2)</f>
        <v>171.5</v>
      </c>
      <c r="F227" s="47">
        <v>31790.18853</v>
      </c>
      <c r="G227" s="47" t="s">
        <v>8</v>
      </c>
      <c r="H227" s="47" t="s">
        <v>8</v>
      </c>
      <c r="I227" s="47">
        <f t="shared" si="14"/>
        <v>635.8</v>
      </c>
      <c r="J227" s="47">
        <f t="shared" si="15"/>
        <v>1589.51</v>
      </c>
      <c r="K227" s="47" t="s">
        <v>8</v>
      </c>
    </row>
    <row r="228" spans="1:11">
      <c r="A228" s="44" t="s">
        <v>96</v>
      </c>
      <c r="B228" s="44" t="s">
        <v>8</v>
      </c>
      <c r="C228" s="10" t="s">
        <v>367</v>
      </c>
      <c r="D228" s="44" t="s">
        <v>137</v>
      </c>
      <c r="E228" s="44">
        <f>ROUND(E224*'[1]附表C-2营造林技术经济指标表'!$M$11,2)</f>
        <v>595.2</v>
      </c>
      <c r="F228" s="47">
        <v>60872.07867</v>
      </c>
      <c r="G228" s="47" t="s">
        <v>8</v>
      </c>
      <c r="H228" s="47" t="s">
        <v>8</v>
      </c>
      <c r="I228" s="47">
        <f t="shared" si="14"/>
        <v>1217.44</v>
      </c>
      <c r="J228" s="47">
        <f t="shared" si="15"/>
        <v>3043.6</v>
      </c>
      <c r="K228" s="47" t="s">
        <v>8</v>
      </c>
    </row>
    <row r="229" spans="1:11">
      <c r="A229" s="44" t="s">
        <v>98</v>
      </c>
      <c r="B229" s="44" t="s">
        <v>8</v>
      </c>
      <c r="C229" s="10" t="s">
        <v>384</v>
      </c>
      <c r="D229" s="44" t="s">
        <v>137</v>
      </c>
      <c r="E229" s="44">
        <f>ROUND(E224*'[1]附表C-2营造林技术经济指标表'!$M$12,2)</f>
        <v>269.02</v>
      </c>
      <c r="F229" s="47">
        <v>27512.80595</v>
      </c>
      <c r="G229" s="47" t="s">
        <v>8</v>
      </c>
      <c r="H229" s="47" t="s">
        <v>8</v>
      </c>
      <c r="I229" s="47">
        <f t="shared" si="14"/>
        <v>550.26</v>
      </c>
      <c r="J229" s="47">
        <f t="shared" si="15"/>
        <v>1375.64</v>
      </c>
      <c r="K229" s="47" t="s">
        <v>8</v>
      </c>
    </row>
    <row r="230" spans="1:11">
      <c r="A230" s="44" t="s">
        <v>100</v>
      </c>
      <c r="B230" s="44" t="s">
        <v>8</v>
      </c>
      <c r="C230" s="10" t="s">
        <v>385</v>
      </c>
      <c r="D230" s="44" t="s">
        <v>137</v>
      </c>
      <c r="E230" s="44">
        <f>ROUND(E224*'[1]附表C-2营造林技术经济指标表'!$M$13,2)</f>
        <v>547</v>
      </c>
      <c r="F230" s="47">
        <v>55942.7041</v>
      </c>
      <c r="G230" s="47" t="s">
        <v>8</v>
      </c>
      <c r="H230" s="47" t="s">
        <v>8</v>
      </c>
      <c r="I230" s="47">
        <f t="shared" si="14"/>
        <v>1118.85</v>
      </c>
      <c r="J230" s="47">
        <f t="shared" si="15"/>
        <v>2797.14</v>
      </c>
      <c r="K230" s="47" t="s">
        <v>8</v>
      </c>
    </row>
    <row r="231" spans="1:11">
      <c r="A231" s="44" t="s">
        <v>102</v>
      </c>
      <c r="B231" s="44" t="s">
        <v>8</v>
      </c>
      <c r="C231" s="10" t="s">
        <v>386</v>
      </c>
      <c r="D231" s="44" t="s">
        <v>137</v>
      </c>
      <c r="E231" s="44">
        <f>ROUND(E224*'[1]附表C-2营造林技术经济指标表'!$M$14,2)</f>
        <v>252.2</v>
      </c>
      <c r="F231" s="47">
        <v>25793.25408</v>
      </c>
      <c r="G231" s="47" t="s">
        <v>8</v>
      </c>
      <c r="H231" s="47" t="s">
        <v>8</v>
      </c>
      <c r="I231" s="47">
        <f t="shared" si="14"/>
        <v>515.87</v>
      </c>
      <c r="J231" s="47">
        <f t="shared" si="15"/>
        <v>1289.66</v>
      </c>
      <c r="K231" s="47" t="s">
        <v>8</v>
      </c>
    </row>
    <row r="232" spans="1:11">
      <c r="A232" s="44" t="s">
        <v>104</v>
      </c>
      <c r="B232" s="44" t="s">
        <v>494</v>
      </c>
      <c r="C232" s="10" t="s">
        <v>453</v>
      </c>
      <c r="D232" s="44" t="s">
        <v>70</v>
      </c>
      <c r="E232" s="44">
        <f>E224</f>
        <v>224.18</v>
      </c>
      <c r="F232" s="45"/>
      <c r="G232" s="45"/>
      <c r="H232" s="44"/>
      <c r="I232" s="45"/>
      <c r="J232" s="45"/>
      <c r="K232" s="44"/>
    </row>
    <row r="233" spans="1:11">
      <c r="A233" s="44" t="s">
        <v>306</v>
      </c>
      <c r="B233" s="44" t="s">
        <v>8</v>
      </c>
      <c r="C233" s="10" t="s">
        <v>91</v>
      </c>
      <c r="D233" s="44" t="s">
        <v>137</v>
      </c>
      <c r="E233" s="44">
        <f>ROUND(E232*'[1]附表C-2营造林技术经济指标表'!$M$115,2)</f>
        <v>862.64</v>
      </c>
      <c r="F233" s="45"/>
      <c r="G233" s="44"/>
      <c r="H233" s="44"/>
      <c r="I233" s="44"/>
      <c r="J233" s="44"/>
      <c r="K233" s="44"/>
    </row>
    <row r="234" spans="1:11">
      <c r="A234" s="44" t="s">
        <v>146</v>
      </c>
      <c r="B234" s="44" t="s">
        <v>8</v>
      </c>
      <c r="C234" s="10" t="s">
        <v>92</v>
      </c>
      <c r="D234" s="44" t="s">
        <v>137</v>
      </c>
      <c r="E234" s="44">
        <f>ROUND(E232*'[1]附表C-2营造林技术经济指标表'!$M$117,2)</f>
        <v>2598.25</v>
      </c>
      <c r="F234" s="45"/>
      <c r="G234" s="44"/>
      <c r="H234" s="44"/>
      <c r="I234" s="44"/>
      <c r="J234" s="44"/>
      <c r="K234" s="44"/>
    </row>
    <row r="235" spans="1:11">
      <c r="A235" s="44" t="s">
        <v>149</v>
      </c>
      <c r="B235" s="44" t="s">
        <v>8</v>
      </c>
      <c r="C235" s="10" t="s">
        <v>514</v>
      </c>
      <c r="D235" s="44" t="s">
        <v>137</v>
      </c>
      <c r="E235" s="44">
        <f>ROUND(E232*('[1]附表C-2营造林技术经济指标表'!$M$123+'[1]附表C-2营造林技术经济指标表'!$M$125),2)</f>
        <v>4149.57</v>
      </c>
      <c r="F235" s="45"/>
      <c r="G235" s="44"/>
      <c r="H235" s="44"/>
      <c r="I235" s="44"/>
      <c r="J235" s="44"/>
      <c r="K235" s="44"/>
    </row>
    <row r="236" spans="1:11">
      <c r="A236" s="44" t="s">
        <v>152</v>
      </c>
      <c r="B236" s="44" t="s">
        <v>8</v>
      </c>
      <c r="C236" s="10" t="s">
        <v>515</v>
      </c>
      <c r="D236" s="44" t="s">
        <v>156</v>
      </c>
      <c r="E236" s="44">
        <f>ROUND(E232*'[1]附表C-2营造林技术经济指标表'!$M$16,2)</f>
        <v>3586.88</v>
      </c>
      <c r="F236" s="45"/>
      <c r="G236" s="44"/>
      <c r="H236" s="44"/>
      <c r="I236" s="44"/>
      <c r="J236" s="44"/>
      <c r="K236" s="44"/>
    </row>
    <row r="237" spans="1:11">
      <c r="A237" s="44" t="s">
        <v>154</v>
      </c>
      <c r="B237" s="44" t="s">
        <v>8</v>
      </c>
      <c r="C237" s="10" t="s">
        <v>516</v>
      </c>
      <c r="D237" s="44" t="s">
        <v>156</v>
      </c>
      <c r="E237" s="44">
        <f>ROUND(E232*'[1]附表C-2营造林技术经济指标表'!$M$17,2)</f>
        <v>672.54</v>
      </c>
      <c r="F237" s="45"/>
      <c r="G237" s="44"/>
      <c r="H237" s="44"/>
      <c r="I237" s="44"/>
      <c r="J237" s="44"/>
      <c r="K237" s="44"/>
    </row>
    <row r="238" spans="1:11">
      <c r="A238" s="44" t="s">
        <v>157</v>
      </c>
      <c r="B238" s="44" t="s">
        <v>8</v>
      </c>
      <c r="C238" s="10" t="s">
        <v>517</v>
      </c>
      <c r="D238" s="44" t="s">
        <v>156</v>
      </c>
      <c r="E238" s="44">
        <f>E236+E237</f>
        <v>4259.42</v>
      </c>
      <c r="F238" s="45"/>
      <c r="G238" s="44"/>
      <c r="H238" s="44"/>
      <c r="I238" s="44"/>
      <c r="J238" s="44"/>
      <c r="K238" s="44"/>
    </row>
    <row r="239" spans="1:11">
      <c r="A239" s="44" t="s">
        <v>313</v>
      </c>
      <c r="B239" s="44" t="s">
        <v>8</v>
      </c>
      <c r="C239" s="10" t="s">
        <v>518</v>
      </c>
      <c r="D239" s="44" t="s">
        <v>137</v>
      </c>
      <c r="E239" s="44">
        <f>ROUND(E232*'[1]附表C-2营造林技术经济指标表'!$M$119,2)</f>
        <v>764.45</v>
      </c>
      <c r="F239" s="45"/>
      <c r="G239" s="44"/>
      <c r="H239" s="44"/>
      <c r="I239" s="44"/>
      <c r="J239" s="44"/>
      <c r="K239" s="44"/>
    </row>
    <row r="240" spans="1:11">
      <c r="A240" s="44" t="s">
        <v>315</v>
      </c>
      <c r="B240" s="44" t="s">
        <v>495</v>
      </c>
      <c r="C240" s="10" t="s">
        <v>93</v>
      </c>
      <c r="D240" s="44" t="s">
        <v>70</v>
      </c>
      <c r="E240" s="44">
        <f>E224</f>
        <v>224.18</v>
      </c>
      <c r="F240" s="45"/>
      <c r="G240" s="44"/>
      <c r="H240" s="44"/>
      <c r="I240" s="44"/>
      <c r="J240" s="44"/>
      <c r="K240" s="44"/>
    </row>
    <row r="241" spans="1:11">
      <c r="A241" s="44" t="s">
        <v>317</v>
      </c>
      <c r="B241" s="44" t="s">
        <v>8</v>
      </c>
      <c r="C241" s="10" t="s">
        <v>519</v>
      </c>
      <c r="D241" s="44" t="s">
        <v>142</v>
      </c>
      <c r="E241" s="44">
        <f>ROUND(E240*'[1]附表C-2营造林技术经济指标表'!$M$82*1000,2)</f>
        <v>25108.16</v>
      </c>
      <c r="F241" s="45"/>
      <c r="G241" s="44"/>
      <c r="H241" s="44"/>
      <c r="I241" s="44"/>
      <c r="J241" s="44"/>
      <c r="K241" s="44"/>
    </row>
    <row r="242" ht="129.6" customHeight="1" spans="1:1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</row>
    <row r="243" spans="1:11">
      <c r="A243" s="17" t="s">
        <v>0</v>
      </c>
      <c r="B243" s="17" t="s">
        <v>0</v>
      </c>
      <c r="C243" s="17" t="s">
        <v>0</v>
      </c>
      <c r="D243" s="17" t="s">
        <v>0</v>
      </c>
      <c r="E243" s="17" t="s">
        <v>0</v>
      </c>
      <c r="F243" s="17" t="s">
        <v>0</v>
      </c>
      <c r="G243" s="28"/>
      <c r="H243" s="28"/>
      <c r="I243" s="28"/>
      <c r="J243" s="28"/>
      <c r="K243" s="28"/>
    </row>
    <row r="244" ht="28.2" customHeight="1" spans="1:11">
      <c r="A244" s="41" t="s">
        <v>0</v>
      </c>
      <c r="B244" s="41" t="s">
        <v>0</v>
      </c>
      <c r="C244" s="42" t="s">
        <v>77</v>
      </c>
      <c r="D244" s="42" t="s">
        <v>0</v>
      </c>
      <c r="E244" s="42" t="s">
        <v>0</v>
      </c>
      <c r="F244" s="42" t="s">
        <v>0</v>
      </c>
      <c r="G244" s="42" t="s">
        <v>0</v>
      </c>
      <c r="H244" s="42" t="s">
        <v>0</v>
      </c>
      <c r="I244" s="42" t="s">
        <v>0</v>
      </c>
      <c r="J244" s="49" t="s">
        <v>544</v>
      </c>
      <c r="K244" s="49" t="s">
        <v>0</v>
      </c>
    </row>
    <row r="245" spans="1:11">
      <c r="A245" s="44" t="s">
        <v>319</v>
      </c>
      <c r="B245" s="44" t="s">
        <v>8</v>
      </c>
      <c r="C245" s="44" t="s">
        <v>143</v>
      </c>
      <c r="D245" s="44" t="s">
        <v>142</v>
      </c>
      <c r="E245" s="44">
        <f>ROUND(E240*'[1]附表C-2营造林技术经济指标表'!$M$82*1000,2)</f>
        <v>25108.16</v>
      </c>
      <c r="F245" s="45"/>
      <c r="G245" s="44"/>
      <c r="H245" s="44"/>
      <c r="I245" s="44"/>
      <c r="J245" s="44"/>
      <c r="K245" s="44"/>
    </row>
    <row r="246" spans="1:11">
      <c r="A246" s="44" t="s">
        <v>321</v>
      </c>
      <c r="B246" s="44" t="s">
        <v>8</v>
      </c>
      <c r="C246" s="44" t="s">
        <v>144</v>
      </c>
      <c r="D246" s="44" t="s">
        <v>137</v>
      </c>
      <c r="E246" s="44">
        <f>ROUND(E240*'[1]附表C-2营造林技术经济指标表'!$M$121,2)</f>
        <v>1450.44</v>
      </c>
      <c r="F246" s="45"/>
      <c r="G246" s="44"/>
      <c r="H246" s="44"/>
      <c r="I246" s="44"/>
      <c r="J246" s="44"/>
      <c r="K246" s="44"/>
    </row>
    <row r="247" spans="1:11">
      <c r="A247" s="44" t="s">
        <v>323</v>
      </c>
      <c r="B247" s="44" t="s">
        <v>496</v>
      </c>
      <c r="C247" s="44" t="s">
        <v>99</v>
      </c>
      <c r="D247" s="44" t="s">
        <v>70</v>
      </c>
      <c r="E247" s="44">
        <f>E224</f>
        <v>224.18</v>
      </c>
      <c r="F247" s="45"/>
      <c r="G247" s="44"/>
      <c r="H247" s="44"/>
      <c r="I247" s="44"/>
      <c r="J247" s="44"/>
      <c r="K247" s="44"/>
    </row>
    <row r="248" spans="1:11">
      <c r="A248" s="44" t="s">
        <v>327</v>
      </c>
      <c r="B248" s="44" t="s">
        <v>8</v>
      </c>
      <c r="C248" s="44" t="s">
        <v>519</v>
      </c>
      <c r="D248" s="44" t="s">
        <v>142</v>
      </c>
      <c r="E248" s="44">
        <f>ROUND(E247*'[1]附表C-2营造林技术经济指标表'!$M$91,2)</f>
        <v>149.75</v>
      </c>
      <c r="F248" s="45"/>
      <c r="G248" s="44"/>
      <c r="H248" s="44"/>
      <c r="I248" s="44"/>
      <c r="J248" s="44"/>
      <c r="K248" s="44"/>
    </row>
    <row r="249" spans="1:11">
      <c r="A249" s="44" t="s">
        <v>330</v>
      </c>
      <c r="B249" s="44" t="s">
        <v>8</v>
      </c>
      <c r="C249" s="44" t="s">
        <v>164</v>
      </c>
      <c r="D249" s="44" t="s">
        <v>142</v>
      </c>
      <c r="E249" s="44">
        <f>ROUND(E247*'[1]附表C-2营造林技术经济指标表'!$M$91,2)</f>
        <v>149.75</v>
      </c>
      <c r="F249" s="45"/>
      <c r="G249" s="44"/>
      <c r="H249" s="44"/>
      <c r="I249" s="44"/>
      <c r="J249" s="44"/>
      <c r="K249" s="44"/>
    </row>
    <row r="250" spans="1:11">
      <c r="A250" s="44" t="s">
        <v>333</v>
      </c>
      <c r="B250" s="44" t="s">
        <v>8</v>
      </c>
      <c r="C250" s="44" t="s">
        <v>165</v>
      </c>
      <c r="D250" s="44" t="s">
        <v>166</v>
      </c>
      <c r="E250" s="44">
        <v>3</v>
      </c>
      <c r="F250" s="45"/>
      <c r="G250" s="44"/>
      <c r="H250" s="44"/>
      <c r="I250" s="44"/>
      <c r="J250" s="44"/>
      <c r="K250" s="44"/>
    </row>
    <row r="251" spans="1:11">
      <c r="A251" s="44" t="s">
        <v>336</v>
      </c>
      <c r="B251" s="44" t="s">
        <v>8</v>
      </c>
      <c r="C251" s="44" t="s">
        <v>167</v>
      </c>
      <c r="D251" s="44" t="s">
        <v>137</v>
      </c>
      <c r="E251" s="44">
        <f>ROUND(E247*'[1]附表C-2营造林技术经济指标表'!$M$135,2)</f>
        <v>4349.09</v>
      </c>
      <c r="F251" s="45"/>
      <c r="G251" s="44"/>
      <c r="H251" s="44"/>
      <c r="I251" s="44"/>
      <c r="J251" s="44"/>
      <c r="K251" s="44"/>
    </row>
    <row r="252" spans="1:11">
      <c r="A252" s="44" t="s">
        <v>340</v>
      </c>
      <c r="B252" s="44" t="s">
        <v>497</v>
      </c>
      <c r="C252" s="44" t="s">
        <v>101</v>
      </c>
      <c r="D252" s="44" t="s">
        <v>70</v>
      </c>
      <c r="E252" s="44">
        <f>E224</f>
        <v>224.18</v>
      </c>
      <c r="F252" s="45"/>
      <c r="G252" s="44"/>
      <c r="H252" s="44"/>
      <c r="I252" s="44"/>
      <c r="J252" s="44"/>
      <c r="K252" s="44"/>
    </row>
    <row r="253" spans="1:11">
      <c r="A253" s="44" t="s">
        <v>343</v>
      </c>
      <c r="B253" s="44" t="s">
        <v>8</v>
      </c>
      <c r="C253" s="44" t="s">
        <v>168</v>
      </c>
      <c r="D253" s="44" t="s">
        <v>142</v>
      </c>
      <c r="E253" s="44">
        <f>ROUND(E252*'[1]附表C-2营造林技术经济指标表'!$M$156,2)</f>
        <v>3423.23</v>
      </c>
      <c r="F253" s="45"/>
      <c r="G253" s="44"/>
      <c r="H253" s="44"/>
      <c r="I253" s="44"/>
      <c r="J253" s="44"/>
      <c r="K253" s="44"/>
    </row>
    <row r="254" spans="1:11">
      <c r="A254" s="44" t="s">
        <v>346</v>
      </c>
      <c r="B254" s="44" t="s">
        <v>8</v>
      </c>
      <c r="C254" s="44" t="s">
        <v>169</v>
      </c>
      <c r="D254" s="44" t="s">
        <v>142</v>
      </c>
      <c r="E254" s="44">
        <f>ROUND(E252*'[1]附表C-2营造林技术经济指标表'!$M$156,2)</f>
        <v>3423.23</v>
      </c>
      <c r="F254" s="45"/>
      <c r="G254" s="44"/>
      <c r="H254" s="44"/>
      <c r="I254" s="44"/>
      <c r="J254" s="44"/>
      <c r="K254" s="44"/>
    </row>
    <row r="255" spans="1:11">
      <c r="A255" s="44" t="s">
        <v>348</v>
      </c>
      <c r="B255" s="44" t="s">
        <v>8</v>
      </c>
      <c r="C255" s="44" t="s">
        <v>170</v>
      </c>
      <c r="D255" s="44" t="s">
        <v>296</v>
      </c>
      <c r="E255" s="44" t="s">
        <v>8</v>
      </c>
      <c r="F255" s="45"/>
      <c r="G255" s="44"/>
      <c r="H255" s="44"/>
      <c r="I255" s="44"/>
      <c r="J255" s="44"/>
      <c r="K255" s="44"/>
    </row>
    <row r="256" spans="1:11">
      <c r="A256" s="44" t="s">
        <v>521</v>
      </c>
      <c r="B256" s="44" t="s">
        <v>8</v>
      </c>
      <c r="C256" s="44" t="s">
        <v>171</v>
      </c>
      <c r="D256" s="44" t="s">
        <v>137</v>
      </c>
      <c r="E256" s="44">
        <f>ROUND(E252*'[1]附表C-2营造林技术经济指标表'!$M$141,2)</f>
        <v>1371.98</v>
      </c>
      <c r="F256" s="45"/>
      <c r="G256" s="44"/>
      <c r="H256" s="44"/>
      <c r="I256" s="44"/>
      <c r="J256" s="44"/>
      <c r="K256" s="44"/>
    </row>
    <row r="257" spans="1:11">
      <c r="A257" s="44" t="s">
        <v>522</v>
      </c>
      <c r="B257" s="44" t="s">
        <v>498</v>
      </c>
      <c r="C257" s="44" t="s">
        <v>172</v>
      </c>
      <c r="D257" s="44" t="s">
        <v>70</v>
      </c>
      <c r="E257" s="44">
        <f>E224</f>
        <v>224.18</v>
      </c>
      <c r="F257" s="45"/>
      <c r="G257" s="44"/>
      <c r="H257" s="44"/>
      <c r="I257" s="45"/>
      <c r="J257" s="45"/>
      <c r="K257" s="44"/>
    </row>
    <row r="258" spans="1:11">
      <c r="A258" s="44" t="s">
        <v>523</v>
      </c>
      <c r="B258" s="44" t="s">
        <v>8</v>
      </c>
      <c r="C258" s="44" t="s">
        <v>173</v>
      </c>
      <c r="D258" s="44" t="s">
        <v>166</v>
      </c>
      <c r="E258" s="44">
        <v>3</v>
      </c>
      <c r="F258" s="45"/>
      <c r="G258" s="44"/>
      <c r="H258" s="44"/>
      <c r="I258" s="44"/>
      <c r="J258" s="44"/>
      <c r="K258" s="44"/>
    </row>
    <row r="259" spans="1:11">
      <c r="A259" s="44" t="s">
        <v>524</v>
      </c>
      <c r="B259" s="44" t="s">
        <v>8</v>
      </c>
      <c r="C259" s="44" t="s">
        <v>293</v>
      </c>
      <c r="D259" s="44" t="s">
        <v>137</v>
      </c>
      <c r="E259" s="44">
        <f>ROUND(E257*'[1]附表C-2营造林技术经济指标表'!$M$127,2)</f>
        <v>6523.64</v>
      </c>
      <c r="F259" s="45"/>
      <c r="G259" s="44"/>
      <c r="H259" s="44"/>
      <c r="I259" s="44"/>
      <c r="J259" s="44"/>
      <c r="K259" s="44"/>
    </row>
    <row r="260" spans="1:11">
      <c r="A260" s="44" t="s">
        <v>525</v>
      </c>
      <c r="B260" s="44"/>
      <c r="C260" s="44" t="s">
        <v>526</v>
      </c>
      <c r="D260" s="44" t="s">
        <v>137</v>
      </c>
      <c r="E260" s="44">
        <f>ROUND(E257*'[1]附表C-2营造林技术经济指标表'!$M$137,2)</f>
        <v>2293.36</v>
      </c>
      <c r="F260" s="45"/>
      <c r="G260" s="44"/>
      <c r="H260" s="44"/>
      <c r="I260" s="44"/>
      <c r="J260" s="44"/>
      <c r="K260" s="44"/>
    </row>
    <row r="261" spans="1:11">
      <c r="A261" s="44" t="s">
        <v>527</v>
      </c>
      <c r="B261" s="44"/>
      <c r="C261" s="44" t="s">
        <v>372</v>
      </c>
      <c r="D261" s="44" t="s">
        <v>137</v>
      </c>
      <c r="E261" s="44">
        <f>ROUND(E257*'[1]附表C-2营造林技术经济指标表'!$M$139,2)</f>
        <v>440.51</v>
      </c>
      <c r="F261" s="45"/>
      <c r="G261" s="44"/>
      <c r="H261" s="44"/>
      <c r="I261" s="44"/>
      <c r="J261" s="44"/>
      <c r="K261" s="44"/>
    </row>
    <row r="262" spans="1:11">
      <c r="A262" s="44" t="s">
        <v>528</v>
      </c>
      <c r="B262" s="44" t="s">
        <v>499</v>
      </c>
      <c r="C262" s="44" t="s">
        <v>95</v>
      </c>
      <c r="D262" s="44" t="s">
        <v>70</v>
      </c>
      <c r="E262" s="44">
        <f>E224</f>
        <v>224.18</v>
      </c>
      <c r="F262" s="45"/>
      <c r="G262" s="44"/>
      <c r="H262" s="44"/>
      <c r="I262" s="44"/>
      <c r="J262" s="44"/>
      <c r="K262" s="44"/>
    </row>
    <row r="263" spans="1:11">
      <c r="A263" s="44" t="s">
        <v>530</v>
      </c>
      <c r="B263" s="44"/>
      <c r="C263" s="44" t="s">
        <v>147</v>
      </c>
      <c r="D263" s="44" t="s">
        <v>148</v>
      </c>
      <c r="E263" s="44">
        <f>ROUND(E262*'[1]附表C-2营造林技术经济指标表'!$M$159,0)</f>
        <v>10761</v>
      </c>
      <c r="F263" s="45"/>
      <c r="G263" s="44"/>
      <c r="H263" s="44"/>
      <c r="I263" s="44"/>
      <c r="J263" s="44"/>
      <c r="K263" s="44"/>
    </row>
    <row r="264" spans="1:11">
      <c r="A264" s="44" t="s">
        <v>531</v>
      </c>
      <c r="B264" s="44" t="s">
        <v>500</v>
      </c>
      <c r="C264" s="44" t="s">
        <v>105</v>
      </c>
      <c r="D264" s="44" t="s">
        <v>70</v>
      </c>
      <c r="E264" s="44">
        <f>E224</f>
        <v>224.18</v>
      </c>
      <c r="F264" s="45"/>
      <c r="G264" s="44"/>
      <c r="H264" s="44"/>
      <c r="I264" s="44"/>
      <c r="J264" s="44"/>
      <c r="K264" s="44"/>
    </row>
    <row r="265" spans="1:11">
      <c r="A265" s="44" t="s">
        <v>532</v>
      </c>
      <c r="B265" s="44" t="s">
        <v>8</v>
      </c>
      <c r="C265" s="44" t="s">
        <v>175</v>
      </c>
      <c r="D265" s="44" t="s">
        <v>176</v>
      </c>
      <c r="E265" s="44">
        <v>3</v>
      </c>
      <c r="F265" s="45"/>
      <c r="G265" s="44"/>
      <c r="H265" s="44"/>
      <c r="I265" s="44"/>
      <c r="J265" s="44"/>
      <c r="K265" s="44"/>
    </row>
    <row r="266" spans="1:11">
      <c r="A266" s="44" t="s">
        <v>533</v>
      </c>
      <c r="B266" s="44" t="s">
        <v>8</v>
      </c>
      <c r="C266" s="44" t="s">
        <v>179</v>
      </c>
      <c r="D266" s="44" t="s">
        <v>180</v>
      </c>
      <c r="E266" s="44">
        <f>ROUND('[1]附表C-2营造林技术经济指标表'!$M$143/3*'[1]附表C-2营造林技术经济指标表'!$M$6,2)</f>
        <v>10.67</v>
      </c>
      <c r="F266" s="45"/>
      <c r="G266" s="44"/>
      <c r="H266" s="44"/>
      <c r="I266" s="44"/>
      <c r="J266" s="44"/>
      <c r="K266" s="44"/>
    </row>
    <row r="267" spans="1:11">
      <c r="A267" s="44" t="s">
        <v>534</v>
      </c>
      <c r="B267" s="44" t="s">
        <v>8</v>
      </c>
      <c r="C267" s="44" t="s">
        <v>181</v>
      </c>
      <c r="D267" s="44" t="s">
        <v>137</v>
      </c>
      <c r="E267" s="44">
        <f>ROUND(E264*'[1]附表C-2营造林技术经济指标表'!$M$143,2)</f>
        <v>56.05</v>
      </c>
      <c r="F267" s="45"/>
      <c r="G267" s="44"/>
      <c r="H267" s="44"/>
      <c r="I267" s="44"/>
      <c r="J267" s="44"/>
      <c r="K267" s="44"/>
    </row>
    <row r="268" spans="1:13">
      <c r="A268" s="44" t="s">
        <v>8</v>
      </c>
      <c r="B268" s="44" t="s">
        <v>8</v>
      </c>
      <c r="C268" s="44" t="s">
        <v>106</v>
      </c>
      <c r="D268" s="44" t="s">
        <v>8</v>
      </c>
      <c r="E268" s="44" t="s">
        <v>8</v>
      </c>
      <c r="F268" s="46">
        <f>SUM(F224,F232,F240,F247,F252,F257,F262,F264)</f>
        <v>228506.74508</v>
      </c>
      <c r="G268" s="46">
        <f>SUM(G224,G232,G240,G247,G252,G257,G262,G264)</f>
        <v>0</v>
      </c>
      <c r="H268" s="47" t="s">
        <v>0</v>
      </c>
      <c r="I268" s="46">
        <f>SUM(I224,I232,I240,I247,I252,I257,I262,I264)</f>
        <v>4570.13</v>
      </c>
      <c r="J268" s="46">
        <f>SUM(J224,J232,J240,J247,J252,J257,J262,J264)</f>
        <v>11425.33</v>
      </c>
      <c r="K268" s="47">
        <f>SUM(F268:J268)</f>
        <v>244502.20508</v>
      </c>
      <c r="M268" s="1">
        <f>ROUND(K268/E264,2)</f>
        <v>1090.65</v>
      </c>
    </row>
    <row r="269" ht="111" customHeight="1"/>
    <row r="270" spans="7:11">
      <c r="G270" s="28"/>
      <c r="H270" s="28"/>
      <c r="I270" s="28"/>
      <c r="J270" s="28"/>
      <c r="K270" s="28"/>
    </row>
    <row r="271" ht="26.4" hidden="1" customHeight="1" spans="1:11">
      <c r="A271" s="41" t="s">
        <v>0</v>
      </c>
      <c r="B271" s="41" t="s">
        <v>0</v>
      </c>
      <c r="C271" s="51" t="s">
        <v>358</v>
      </c>
      <c r="D271" s="51" t="s">
        <v>0</v>
      </c>
      <c r="E271" s="51" t="s">
        <v>0</v>
      </c>
      <c r="F271" s="51" t="s">
        <v>0</v>
      </c>
      <c r="G271" s="51" t="s">
        <v>0</v>
      </c>
      <c r="H271" s="51" t="s">
        <v>0</v>
      </c>
      <c r="I271" s="51" t="s">
        <v>0</v>
      </c>
      <c r="J271" s="49" t="s">
        <v>545</v>
      </c>
      <c r="K271" s="49" t="s">
        <v>0</v>
      </c>
    </row>
    <row r="272" hidden="1" spans="1:11">
      <c r="A272" s="43" t="s">
        <v>79</v>
      </c>
      <c r="B272" s="43" t="s">
        <v>0</v>
      </c>
      <c r="C272" s="43" t="s">
        <v>0</v>
      </c>
      <c r="D272" s="43" t="s">
        <v>0</v>
      </c>
      <c r="E272" s="43" t="s">
        <v>0</v>
      </c>
      <c r="F272" s="43" t="s">
        <v>0</v>
      </c>
      <c r="G272" s="43" t="s">
        <v>0</v>
      </c>
      <c r="H272" s="43" t="s">
        <v>0</v>
      </c>
      <c r="I272" s="43" t="s">
        <v>0</v>
      </c>
      <c r="J272" s="43" t="s">
        <v>0</v>
      </c>
      <c r="K272" s="43" t="s">
        <v>0</v>
      </c>
    </row>
    <row r="273" hidden="1" customHeight="1" spans="1:11">
      <c r="A273" s="28" t="s">
        <v>22</v>
      </c>
      <c r="B273" s="28" t="s">
        <v>0</v>
      </c>
      <c r="C273" s="17" t="s">
        <v>501</v>
      </c>
      <c r="D273" s="17" t="s">
        <v>0</v>
      </c>
      <c r="E273" s="17" t="s">
        <v>0</v>
      </c>
      <c r="F273" s="17" t="s">
        <v>0</v>
      </c>
      <c r="G273" s="17" t="s">
        <v>0</v>
      </c>
      <c r="H273" s="17" t="s">
        <v>0</v>
      </c>
      <c r="I273" s="17" t="s">
        <v>0</v>
      </c>
      <c r="J273" s="17" t="s">
        <v>81</v>
      </c>
      <c r="K273" s="17" t="s">
        <v>0</v>
      </c>
    </row>
    <row r="274" hidden="1" customHeight="1" spans="1:11">
      <c r="A274" s="28" t="s">
        <v>82</v>
      </c>
      <c r="B274" s="28" t="s">
        <v>0</v>
      </c>
      <c r="C274" s="17" t="s">
        <v>502</v>
      </c>
      <c r="D274" s="17" t="s">
        <v>0</v>
      </c>
      <c r="E274" s="17" t="s">
        <v>0</v>
      </c>
      <c r="F274" s="17" t="s">
        <v>0</v>
      </c>
      <c r="G274" s="17" t="s">
        <v>0</v>
      </c>
      <c r="H274" s="17" t="s">
        <v>0</v>
      </c>
      <c r="I274" s="17" t="s">
        <v>0</v>
      </c>
      <c r="J274" s="17" t="str">
        <f>"工程数量："&amp;'[1]附表C-6营造林工程投资概算'!$D$17</f>
        <v>工程数量：0</v>
      </c>
      <c r="K274" s="17" t="s">
        <v>0</v>
      </c>
    </row>
    <row r="275" hidden="1" customHeight="1" spans="1:11">
      <c r="A275" s="28" t="s">
        <v>84</v>
      </c>
      <c r="B275" s="28" t="s">
        <v>0</v>
      </c>
      <c r="C275" s="17" t="s">
        <v>503</v>
      </c>
      <c r="D275" s="17" t="s">
        <v>0</v>
      </c>
      <c r="E275" s="17" t="s">
        <v>0</v>
      </c>
      <c r="F275" s="17" t="s">
        <v>0</v>
      </c>
      <c r="G275" s="17" t="s">
        <v>0</v>
      </c>
      <c r="H275" s="17" t="s">
        <v>0</v>
      </c>
      <c r="I275" s="17" t="s">
        <v>0</v>
      </c>
      <c r="J275" s="17" t="str">
        <f>"综合单价："&amp;'[1]附表C-2营造林技术经济指标表'!$N$5&amp;"元 "</f>
        <v>综合单价：28810.83元 </v>
      </c>
      <c r="K275" s="17" t="s">
        <v>0</v>
      </c>
    </row>
    <row r="276" hidden="1" spans="1:11">
      <c r="A276" s="44" t="s">
        <v>28</v>
      </c>
      <c r="B276" s="44" t="s">
        <v>86</v>
      </c>
      <c r="C276" s="44" t="s">
        <v>87</v>
      </c>
      <c r="D276" s="44" t="s">
        <v>57</v>
      </c>
      <c r="E276" s="44" t="s">
        <v>88</v>
      </c>
      <c r="F276" s="44" t="s">
        <v>89</v>
      </c>
      <c r="G276" s="44" t="s">
        <v>0</v>
      </c>
      <c r="H276" s="44" t="s">
        <v>0</v>
      </c>
      <c r="I276" s="44" t="s">
        <v>0</v>
      </c>
      <c r="J276" s="44" t="s">
        <v>0</v>
      </c>
      <c r="K276" s="44" t="s">
        <v>0</v>
      </c>
    </row>
    <row r="277" hidden="1" spans="1:11">
      <c r="A277" s="44" t="s">
        <v>0</v>
      </c>
      <c r="B277" s="44" t="s">
        <v>0</v>
      </c>
      <c r="C277" s="44" t="s">
        <v>0</v>
      </c>
      <c r="D277" s="44" t="s">
        <v>0</v>
      </c>
      <c r="E277" s="44" t="s">
        <v>0</v>
      </c>
      <c r="F277" s="45" t="s">
        <v>63</v>
      </c>
      <c r="G277" s="44" t="s">
        <v>64</v>
      </c>
      <c r="H277" s="44" t="s">
        <v>65</v>
      </c>
      <c r="I277" s="44" t="s">
        <v>66</v>
      </c>
      <c r="J277" s="44" t="s">
        <v>67</v>
      </c>
      <c r="K277" s="44" t="s">
        <v>90</v>
      </c>
    </row>
    <row r="278" hidden="1" spans="1:11">
      <c r="A278" s="44" t="s">
        <v>68</v>
      </c>
      <c r="B278" s="44" t="s">
        <v>504</v>
      </c>
      <c r="C278" s="44" t="s">
        <v>363</v>
      </c>
      <c r="D278" s="44" t="s">
        <v>70</v>
      </c>
      <c r="E278" s="44">
        <f>'[1]附表C-6营造林工程投资概算'!$D$17</f>
        <v>0</v>
      </c>
      <c r="F278" s="45">
        <f>SUM(F279:F285)</f>
        <v>0</v>
      </c>
      <c r="G278" s="44" t="s">
        <v>0</v>
      </c>
      <c r="H278" s="44" t="s">
        <v>0</v>
      </c>
      <c r="I278" s="44" t="s">
        <v>8</v>
      </c>
      <c r="J278" s="44" t="s">
        <v>8</v>
      </c>
      <c r="K278" s="44">
        <f>SUM(F278:J278)</f>
        <v>0</v>
      </c>
    </row>
    <row r="279" hidden="1" spans="1:11">
      <c r="A279" s="44" t="s">
        <v>71</v>
      </c>
      <c r="B279" s="44"/>
      <c r="C279" s="10" t="s">
        <v>364</v>
      </c>
      <c r="D279" s="44" t="s">
        <v>137</v>
      </c>
      <c r="E279" s="44">
        <f>ROUND(E278*'[1]附表C-2营造林技术经济指标表'!$N$8,2)</f>
        <v>0</v>
      </c>
      <c r="F279" s="44">
        <f>ROUND(E278*'[1]附表C-2营造林技术经济指标表'!$N$8*'[1]附表C-2营造林技术经济指标表'!$N$7,2)</f>
        <v>0</v>
      </c>
      <c r="G279" s="44"/>
      <c r="H279" s="44"/>
      <c r="I279" s="44"/>
      <c r="J279" s="44"/>
      <c r="K279" s="44"/>
    </row>
    <row r="280" hidden="1" spans="1:11">
      <c r="A280" s="44" t="s">
        <v>73</v>
      </c>
      <c r="B280" s="44"/>
      <c r="C280" s="10" t="s">
        <v>365</v>
      </c>
      <c r="D280" s="44" t="s">
        <v>137</v>
      </c>
      <c r="E280" s="44">
        <f>ROUND(E278*'[1]附表C-2营造林技术经济指标表'!$N$9,2)</f>
        <v>0</v>
      </c>
      <c r="F280" s="44">
        <f>ROUND(E278*'[1]附表C-2营造林技术经济指标表'!$N$9*'[1]附表C-2营造林技术经济指标表'!$N$7,2)</f>
        <v>0</v>
      </c>
      <c r="G280" s="44"/>
      <c r="H280" s="44"/>
      <c r="I280" s="44"/>
      <c r="J280" s="44"/>
      <c r="K280" s="44"/>
    </row>
    <row r="281" hidden="1" spans="1:11">
      <c r="A281" s="44" t="s">
        <v>94</v>
      </c>
      <c r="B281" s="44" t="s">
        <v>8</v>
      </c>
      <c r="C281" s="10" t="s">
        <v>366</v>
      </c>
      <c r="D281" s="44" t="s">
        <v>137</v>
      </c>
      <c r="E281" s="44">
        <f>ROUND(E278*'[1]附表C-2营造林技术经济指标表'!$N$10,2)</f>
        <v>0</v>
      </c>
      <c r="F281" s="44">
        <f>ROUND(E278*'[1]附表C-2营造林技术经济指标表'!$N$10*'[1]附表C-2营造林技术经济指标表'!$N$7,2)</f>
        <v>0</v>
      </c>
      <c r="G281" s="44" t="s">
        <v>8</v>
      </c>
      <c r="H281" s="44" t="s">
        <v>8</v>
      </c>
      <c r="I281" s="44" t="s">
        <v>8</v>
      </c>
      <c r="J281" s="44" t="s">
        <v>8</v>
      </c>
      <c r="K281" s="44" t="s">
        <v>8</v>
      </c>
    </row>
    <row r="282" hidden="1" spans="1:11">
      <c r="A282" s="44" t="s">
        <v>96</v>
      </c>
      <c r="B282" s="44" t="s">
        <v>8</v>
      </c>
      <c r="C282" s="10" t="s">
        <v>367</v>
      </c>
      <c r="D282" s="44" t="s">
        <v>137</v>
      </c>
      <c r="E282" s="44">
        <f>ROUND(E278*'[1]附表C-2营造林技术经济指标表'!$N$11,2)</f>
        <v>0</v>
      </c>
      <c r="F282" s="44">
        <f>ROUND(E278*'[1]附表C-2营造林技术经济指标表'!$N$11*'[1]附表C-2营造林技术经济指标表'!$N$6,2)</f>
        <v>0</v>
      </c>
      <c r="G282" s="44" t="s">
        <v>8</v>
      </c>
      <c r="H282" s="44" t="s">
        <v>8</v>
      </c>
      <c r="I282" s="44" t="s">
        <v>8</v>
      </c>
      <c r="J282" s="44" t="s">
        <v>8</v>
      </c>
      <c r="K282" s="44" t="s">
        <v>8</v>
      </c>
    </row>
    <row r="283" hidden="1" spans="1:11">
      <c r="A283" s="44" t="s">
        <v>98</v>
      </c>
      <c r="B283" s="44" t="s">
        <v>8</v>
      </c>
      <c r="C283" s="10" t="s">
        <v>384</v>
      </c>
      <c r="D283" s="44" t="s">
        <v>137</v>
      </c>
      <c r="E283" s="44">
        <f>ROUND(E278*'[1]附表C-2营造林技术经济指标表'!$N$12,2)</f>
        <v>0</v>
      </c>
      <c r="F283" s="44">
        <f>ROUND(E278*'[1]附表C-2营造林技术经济指标表'!$N$12*'[1]附表C-2营造林技术经济指标表'!$N$6,2)</f>
        <v>0</v>
      </c>
      <c r="G283" s="44" t="s">
        <v>8</v>
      </c>
      <c r="H283" s="44" t="s">
        <v>8</v>
      </c>
      <c r="I283" s="44" t="s">
        <v>8</v>
      </c>
      <c r="J283" s="44" t="s">
        <v>8</v>
      </c>
      <c r="K283" s="44" t="s">
        <v>8</v>
      </c>
    </row>
    <row r="284" hidden="1" spans="1:11">
      <c r="A284" s="44" t="s">
        <v>100</v>
      </c>
      <c r="B284" s="44" t="s">
        <v>8</v>
      </c>
      <c r="C284" s="10" t="s">
        <v>385</v>
      </c>
      <c r="D284" s="44" t="s">
        <v>137</v>
      </c>
      <c r="E284" s="44">
        <f>ROUND(E278*'[1]附表C-2营造林技术经济指标表'!$N$13,2)</f>
        <v>0</v>
      </c>
      <c r="F284" s="44">
        <f>ROUND(E278*'[1]附表C-2营造林技术经济指标表'!$N$13*'[1]附表C-2营造林技术经济指标表'!$N$6,2)</f>
        <v>0</v>
      </c>
      <c r="G284" s="44" t="s">
        <v>8</v>
      </c>
      <c r="H284" s="44" t="s">
        <v>8</v>
      </c>
      <c r="I284" s="44" t="s">
        <v>8</v>
      </c>
      <c r="J284" s="44" t="s">
        <v>8</v>
      </c>
      <c r="K284" s="44" t="s">
        <v>8</v>
      </c>
    </row>
    <row r="285" hidden="1" spans="1:11">
      <c r="A285" s="44" t="s">
        <v>102</v>
      </c>
      <c r="B285" s="44" t="s">
        <v>8</v>
      </c>
      <c r="C285" s="10" t="s">
        <v>386</v>
      </c>
      <c r="D285" s="44" t="s">
        <v>137</v>
      </c>
      <c r="E285" s="44">
        <f>ROUND(E278*'[1]附表C-2营造林技术经济指标表'!$N$14,2)</f>
        <v>0</v>
      </c>
      <c r="F285" s="44">
        <f>ROUND(E278*'[1]附表C-2营造林技术经济指标表'!$N$14*'[1]附表C-2营造林技术经济指标表'!$N$6,2)</f>
        <v>0</v>
      </c>
      <c r="G285" s="44" t="s">
        <v>8</v>
      </c>
      <c r="H285" s="44" t="s">
        <v>8</v>
      </c>
      <c r="I285" s="44" t="s">
        <v>8</v>
      </c>
      <c r="J285" s="44" t="s">
        <v>8</v>
      </c>
      <c r="K285" s="44" t="s">
        <v>8</v>
      </c>
    </row>
    <row r="286" hidden="1" spans="1:11">
      <c r="A286" s="44" t="s">
        <v>104</v>
      </c>
      <c r="B286" s="44" t="s">
        <v>505</v>
      </c>
      <c r="C286" s="10" t="s">
        <v>453</v>
      </c>
      <c r="D286" s="44" t="s">
        <v>70</v>
      </c>
      <c r="E286" s="44">
        <f>E278</f>
        <v>0</v>
      </c>
      <c r="F286" s="45">
        <f>SUM(F287:F293)</f>
        <v>0</v>
      </c>
      <c r="G286" s="45">
        <f>SUM(G287:G293)</f>
        <v>0</v>
      </c>
      <c r="H286" s="44" t="s">
        <v>0</v>
      </c>
      <c r="I286" s="44" t="s">
        <v>8</v>
      </c>
      <c r="J286" s="44" t="s">
        <v>8</v>
      </c>
      <c r="K286" s="44">
        <f>SUM(F286:J286)</f>
        <v>0</v>
      </c>
    </row>
    <row r="287" hidden="1" spans="1:11">
      <c r="A287" s="44" t="s">
        <v>306</v>
      </c>
      <c r="B287" s="44" t="s">
        <v>8</v>
      </c>
      <c r="C287" s="10" t="s">
        <v>91</v>
      </c>
      <c r="D287" s="44" t="s">
        <v>137</v>
      </c>
      <c r="E287" s="44">
        <f>ROUND(E286*'[1]附表C-2营造林技术经济指标表'!$N$115,2)</f>
        <v>0</v>
      </c>
      <c r="F287" s="45">
        <f>ROUND(E286*'[1]附表C-2营造林技术经济指标表'!$N$116,2)</f>
        <v>0</v>
      </c>
      <c r="G287" s="44" t="s">
        <v>8</v>
      </c>
      <c r="H287" s="44" t="s">
        <v>8</v>
      </c>
      <c r="I287" s="44" t="s">
        <v>8</v>
      </c>
      <c r="J287" s="44" t="s">
        <v>8</v>
      </c>
      <c r="K287" s="44" t="s">
        <v>8</v>
      </c>
    </row>
    <row r="288" hidden="1" spans="1:11">
      <c r="A288" s="44" t="s">
        <v>146</v>
      </c>
      <c r="B288" s="44" t="s">
        <v>8</v>
      </c>
      <c r="C288" s="10" t="s">
        <v>92</v>
      </c>
      <c r="D288" s="44" t="s">
        <v>137</v>
      </c>
      <c r="E288" s="44">
        <f>ROUND(E286*'[1]附表C-2营造林技术经济指标表'!$N$117,2)</f>
        <v>0</v>
      </c>
      <c r="F288" s="45">
        <f>ROUND(E286*'[1]附表C-2营造林技术经济指标表'!$N$118,2)</f>
        <v>0</v>
      </c>
      <c r="G288" s="44" t="s">
        <v>8</v>
      </c>
      <c r="H288" s="44" t="s">
        <v>8</v>
      </c>
      <c r="I288" s="44" t="s">
        <v>8</v>
      </c>
      <c r="J288" s="44" t="s">
        <v>8</v>
      </c>
      <c r="K288" s="44" t="s">
        <v>8</v>
      </c>
    </row>
    <row r="289" hidden="1" spans="1:11">
      <c r="A289" s="44" t="s">
        <v>149</v>
      </c>
      <c r="B289" s="44" t="s">
        <v>8</v>
      </c>
      <c r="C289" s="10" t="s">
        <v>514</v>
      </c>
      <c r="D289" s="44" t="s">
        <v>137</v>
      </c>
      <c r="E289" s="44">
        <f>ROUND(E286*('[1]附表C-2营造林技术经济指标表'!$N$123+'[1]附表C-2营造林技术经济指标表'!$N$125),2)</f>
        <v>0</v>
      </c>
      <c r="F289" s="45">
        <f>ROUND(E286*('[1]附表C-2营造林技术经济指标表'!$N$124+'[1]附表C-2营造林技术经济指标表'!$N$126),2)</f>
        <v>0</v>
      </c>
      <c r="G289" s="44" t="s">
        <v>8</v>
      </c>
      <c r="H289" s="44" t="s">
        <v>8</v>
      </c>
      <c r="I289" s="44" t="s">
        <v>8</v>
      </c>
      <c r="J289" s="44" t="s">
        <v>8</v>
      </c>
      <c r="K289" s="44" t="s">
        <v>8</v>
      </c>
    </row>
    <row r="290" hidden="1" spans="1:11">
      <c r="A290" s="44" t="s">
        <v>152</v>
      </c>
      <c r="B290" s="44" t="s">
        <v>8</v>
      </c>
      <c r="C290" s="10" t="s">
        <v>515</v>
      </c>
      <c r="D290" s="44" t="s">
        <v>156</v>
      </c>
      <c r="E290" s="44">
        <f>ROUND(E286*'[1]附表C-2营造林技术经济指标表'!$N$16,2)</f>
        <v>0</v>
      </c>
      <c r="F290" s="45" t="s">
        <v>8</v>
      </c>
      <c r="G290" s="44" t="s">
        <v>8</v>
      </c>
      <c r="H290" s="44" t="s">
        <v>8</v>
      </c>
      <c r="I290" s="44" t="s">
        <v>8</v>
      </c>
      <c r="J290" s="44" t="s">
        <v>8</v>
      </c>
      <c r="K290" s="44" t="s">
        <v>8</v>
      </c>
    </row>
    <row r="291" hidden="1" spans="1:11">
      <c r="A291" s="44" t="s">
        <v>154</v>
      </c>
      <c r="B291" s="44" t="s">
        <v>8</v>
      </c>
      <c r="C291" s="10" t="s">
        <v>516</v>
      </c>
      <c r="D291" s="44" t="s">
        <v>156</v>
      </c>
      <c r="E291" s="44">
        <f>ROUND(E286*'[1]附表C-2营造林技术经济指标表'!$N$17,2)</f>
        <v>0</v>
      </c>
      <c r="F291" s="45" t="s">
        <v>8</v>
      </c>
      <c r="G291" s="44" t="s">
        <v>8</v>
      </c>
      <c r="H291" s="44" t="s">
        <v>8</v>
      </c>
      <c r="I291" s="44" t="s">
        <v>8</v>
      </c>
      <c r="J291" s="44" t="s">
        <v>8</v>
      </c>
      <c r="K291" s="44" t="s">
        <v>8</v>
      </c>
    </row>
    <row r="292" hidden="1" spans="1:11">
      <c r="A292" s="44" t="s">
        <v>157</v>
      </c>
      <c r="B292" s="44" t="s">
        <v>8</v>
      </c>
      <c r="C292" s="10" t="s">
        <v>517</v>
      </c>
      <c r="D292" s="44" t="s">
        <v>156</v>
      </c>
      <c r="E292" s="44">
        <f>E290+E291</f>
        <v>0</v>
      </c>
      <c r="F292" s="45" t="s">
        <v>8</v>
      </c>
      <c r="G292" s="44">
        <f>ROUND(E286*'[1]附表C-2营造林技术经济指标表'!$N$20,2)</f>
        <v>0</v>
      </c>
      <c r="H292" s="44" t="s">
        <v>8</v>
      </c>
      <c r="I292" s="44" t="s">
        <v>8</v>
      </c>
      <c r="J292" s="44" t="s">
        <v>8</v>
      </c>
      <c r="K292" s="44" t="s">
        <v>8</v>
      </c>
    </row>
    <row r="293" hidden="1" spans="1:11">
      <c r="A293" s="44" t="s">
        <v>313</v>
      </c>
      <c r="B293" s="44" t="s">
        <v>8</v>
      </c>
      <c r="C293" s="10" t="s">
        <v>518</v>
      </c>
      <c r="D293" s="44" t="s">
        <v>137</v>
      </c>
      <c r="E293" s="44">
        <f>ROUND(E286*'[1]附表C-2营造林技术经济指标表'!$N$119,2)</f>
        <v>0</v>
      </c>
      <c r="F293" s="45">
        <f>ROUND(E286*'[1]附表C-2营造林技术经济指标表'!$N$120,2)</f>
        <v>0</v>
      </c>
      <c r="G293" s="44" t="s">
        <v>8</v>
      </c>
      <c r="H293" s="44" t="s">
        <v>8</v>
      </c>
      <c r="I293" s="44" t="s">
        <v>8</v>
      </c>
      <c r="J293" s="44" t="s">
        <v>8</v>
      </c>
      <c r="K293" s="44" t="s">
        <v>8</v>
      </c>
    </row>
    <row r="294" hidden="1" spans="1:11">
      <c r="A294" s="44" t="s">
        <v>315</v>
      </c>
      <c r="B294" s="44" t="s">
        <v>506</v>
      </c>
      <c r="C294" s="10" t="s">
        <v>93</v>
      </c>
      <c r="D294" s="44" t="s">
        <v>70</v>
      </c>
      <c r="E294" s="44">
        <f>E278</f>
        <v>0</v>
      </c>
      <c r="F294" s="45">
        <f>F300</f>
        <v>0</v>
      </c>
      <c r="G294" s="44">
        <f>G295</f>
        <v>0</v>
      </c>
      <c r="H294" s="44" t="s">
        <v>0</v>
      </c>
      <c r="I294" s="44" t="s">
        <v>8</v>
      </c>
      <c r="J294" s="44" t="s">
        <v>8</v>
      </c>
      <c r="K294" s="44">
        <f>SUM(F294:J294)</f>
        <v>0</v>
      </c>
    </row>
    <row r="295" hidden="1" spans="1:11">
      <c r="A295" s="44" t="s">
        <v>317</v>
      </c>
      <c r="B295" s="44" t="s">
        <v>8</v>
      </c>
      <c r="C295" s="10" t="s">
        <v>519</v>
      </c>
      <c r="D295" s="44" t="s">
        <v>142</v>
      </c>
      <c r="E295" s="44">
        <f>ROUND(E294*'[1]附表C-2营造林技术经济指标表'!$N$82*1000,2)</f>
        <v>0</v>
      </c>
      <c r="F295" s="45" t="s">
        <v>8</v>
      </c>
      <c r="G295" s="44">
        <f>ROUND(E294*'[1]附表C-2营造林技术经济指标表'!$N$84,2)</f>
        <v>0</v>
      </c>
      <c r="H295" s="44" t="s">
        <v>8</v>
      </c>
      <c r="I295" s="44" t="s">
        <v>8</v>
      </c>
      <c r="J295" s="44" t="s">
        <v>8</v>
      </c>
      <c r="K295" s="44" t="s">
        <v>8</v>
      </c>
    </row>
    <row r="296" ht="121.2" hidden="1" customHeight="1" spans="1:1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</row>
    <row r="297" hidden="1" customHeight="1" spans="1:11">
      <c r="A297" s="17" t="s">
        <v>0</v>
      </c>
      <c r="B297" s="17" t="s">
        <v>0</v>
      </c>
      <c r="C297" s="17" t="s">
        <v>0</v>
      </c>
      <c r="D297" s="17" t="s">
        <v>0</v>
      </c>
      <c r="E297" s="17" t="s">
        <v>0</v>
      </c>
      <c r="F297" s="17" t="s">
        <v>0</v>
      </c>
      <c r="G297" s="28" t="s">
        <v>512</v>
      </c>
      <c r="H297" s="28" t="s">
        <v>0</v>
      </c>
      <c r="I297" s="28" t="s">
        <v>0</v>
      </c>
      <c r="J297" s="28" t="s">
        <v>0</v>
      </c>
      <c r="K297" s="28" t="s">
        <v>0</v>
      </c>
    </row>
    <row r="298" ht="28.8" hidden="1" customHeight="1" spans="1:11">
      <c r="A298" s="41" t="s">
        <v>0</v>
      </c>
      <c r="B298" s="41" t="s">
        <v>0</v>
      </c>
      <c r="C298" s="51" t="s">
        <v>358</v>
      </c>
      <c r="D298" s="51" t="s">
        <v>0</v>
      </c>
      <c r="E298" s="51" t="s">
        <v>0</v>
      </c>
      <c r="F298" s="51" t="s">
        <v>0</v>
      </c>
      <c r="G298" s="51" t="s">
        <v>0</v>
      </c>
      <c r="H298" s="51" t="s">
        <v>0</v>
      </c>
      <c r="I298" s="51" t="s">
        <v>0</v>
      </c>
      <c r="J298" s="49" t="s">
        <v>546</v>
      </c>
      <c r="K298" s="49" t="s">
        <v>0</v>
      </c>
    </row>
    <row r="299" hidden="1" spans="1:11">
      <c r="A299" s="44" t="s">
        <v>319</v>
      </c>
      <c r="B299" s="44" t="s">
        <v>8</v>
      </c>
      <c r="C299" s="44" t="s">
        <v>143</v>
      </c>
      <c r="D299" s="44" t="s">
        <v>142</v>
      </c>
      <c r="E299" s="44">
        <f>ROUND(E294*'[1]附表C-2营造林技术经济指标表'!$N$82*1000,2)</f>
        <v>0</v>
      </c>
      <c r="F299" s="45" t="s">
        <v>8</v>
      </c>
      <c r="G299" s="44" t="s">
        <v>8</v>
      </c>
      <c r="H299" s="44" t="s">
        <v>8</v>
      </c>
      <c r="I299" s="44" t="s">
        <v>8</v>
      </c>
      <c r="J299" s="44" t="s">
        <v>8</v>
      </c>
      <c r="K299" s="44" t="s">
        <v>8</v>
      </c>
    </row>
    <row r="300" hidden="1" spans="1:11">
      <c r="A300" s="44" t="s">
        <v>321</v>
      </c>
      <c r="B300" s="44" t="s">
        <v>8</v>
      </c>
      <c r="C300" s="44" t="s">
        <v>144</v>
      </c>
      <c r="D300" s="44" t="s">
        <v>137</v>
      </c>
      <c r="E300" s="44">
        <f>ROUND(E294*'[1]附表C-2营造林技术经济指标表'!$N$121,2)</f>
        <v>0</v>
      </c>
      <c r="F300" s="45">
        <f>ROUND(E294*'[1]附表C-2营造林技术经济指标表'!$N$122,2)</f>
        <v>0</v>
      </c>
      <c r="G300" s="44" t="s">
        <v>8</v>
      </c>
      <c r="H300" s="44" t="s">
        <v>8</v>
      </c>
      <c r="I300" s="44" t="s">
        <v>8</v>
      </c>
      <c r="J300" s="44" t="s">
        <v>8</v>
      </c>
      <c r="K300" s="44" t="s">
        <v>8</v>
      </c>
    </row>
    <row r="301" hidden="1" spans="1:11">
      <c r="A301" s="44" t="s">
        <v>323</v>
      </c>
      <c r="B301" s="44" t="s">
        <v>507</v>
      </c>
      <c r="C301" s="44" t="s">
        <v>99</v>
      </c>
      <c r="D301" s="44" t="s">
        <v>70</v>
      </c>
      <c r="E301" s="44">
        <f>E278</f>
        <v>0</v>
      </c>
      <c r="F301" s="45">
        <f>F305</f>
        <v>0</v>
      </c>
      <c r="G301" s="44">
        <f>G302</f>
        <v>0</v>
      </c>
      <c r="H301" s="44" t="s">
        <v>0</v>
      </c>
      <c r="I301" s="44" t="s">
        <v>8</v>
      </c>
      <c r="J301" s="44" t="s">
        <v>8</v>
      </c>
      <c r="K301" s="44">
        <f>SUM(F301:J301)</f>
        <v>0</v>
      </c>
    </row>
    <row r="302" hidden="1" spans="1:11">
      <c r="A302" s="44" t="s">
        <v>327</v>
      </c>
      <c r="B302" s="44" t="s">
        <v>8</v>
      </c>
      <c r="C302" s="44" t="s">
        <v>519</v>
      </c>
      <c r="D302" s="44" t="s">
        <v>142</v>
      </c>
      <c r="E302" s="44">
        <f>ROUND(E301*'[1]附表C-2营造林技术经济指标表'!$N$91,2)</f>
        <v>0</v>
      </c>
      <c r="F302" s="45" t="s">
        <v>8</v>
      </c>
      <c r="G302" s="44">
        <f>ROUND(E301*'[1]附表C-2营造林技术经济指标表'!$N$93,2)</f>
        <v>0</v>
      </c>
      <c r="H302" s="44" t="s">
        <v>8</v>
      </c>
      <c r="I302" s="44" t="s">
        <v>8</v>
      </c>
      <c r="J302" s="44" t="s">
        <v>8</v>
      </c>
      <c r="K302" s="44" t="s">
        <v>8</v>
      </c>
    </row>
    <row r="303" hidden="1" spans="1:11">
      <c r="A303" s="44" t="s">
        <v>330</v>
      </c>
      <c r="B303" s="44" t="s">
        <v>8</v>
      </c>
      <c r="C303" s="44" t="s">
        <v>164</v>
      </c>
      <c r="D303" s="44" t="s">
        <v>142</v>
      </c>
      <c r="E303" s="44">
        <f>ROUND(E301*'[1]附表C-2营造林技术经济指标表'!$N$91,2)</f>
        <v>0</v>
      </c>
      <c r="F303" s="45" t="s">
        <v>8</v>
      </c>
      <c r="G303" s="44" t="s">
        <v>8</v>
      </c>
      <c r="H303" s="44" t="s">
        <v>8</v>
      </c>
      <c r="I303" s="44" t="s">
        <v>8</v>
      </c>
      <c r="J303" s="44" t="s">
        <v>8</v>
      </c>
      <c r="K303" s="44" t="s">
        <v>8</v>
      </c>
    </row>
    <row r="304" hidden="1" spans="1:11">
      <c r="A304" s="44" t="s">
        <v>333</v>
      </c>
      <c r="B304" s="44" t="s">
        <v>8</v>
      </c>
      <c r="C304" s="44" t="s">
        <v>165</v>
      </c>
      <c r="D304" s="44" t="s">
        <v>166</v>
      </c>
      <c r="E304" s="44">
        <v>3</v>
      </c>
      <c r="F304" s="45" t="s">
        <v>8</v>
      </c>
      <c r="G304" s="44" t="s">
        <v>8</v>
      </c>
      <c r="H304" s="44" t="s">
        <v>8</v>
      </c>
      <c r="I304" s="44" t="s">
        <v>8</v>
      </c>
      <c r="J304" s="44" t="s">
        <v>8</v>
      </c>
      <c r="K304" s="44" t="s">
        <v>8</v>
      </c>
    </row>
    <row r="305" hidden="1" spans="1:11">
      <c r="A305" s="44" t="s">
        <v>336</v>
      </c>
      <c r="B305" s="44" t="s">
        <v>8</v>
      </c>
      <c r="C305" s="44" t="s">
        <v>167</v>
      </c>
      <c r="D305" s="44" t="s">
        <v>137</v>
      </c>
      <c r="E305" s="44">
        <f>ROUND(E301*'[1]附表C-2营造林技术经济指标表'!$N$135,2)</f>
        <v>0</v>
      </c>
      <c r="F305" s="45">
        <f>ROUND(E301*'[1]附表C-2营造林技术经济指标表'!$N$136,2)</f>
        <v>0</v>
      </c>
      <c r="G305" s="44" t="s">
        <v>8</v>
      </c>
      <c r="H305" s="44" t="s">
        <v>8</v>
      </c>
      <c r="I305" s="44" t="s">
        <v>8</v>
      </c>
      <c r="J305" s="44" t="s">
        <v>8</v>
      </c>
      <c r="K305" s="44" t="s">
        <v>8</v>
      </c>
    </row>
    <row r="306" hidden="1" spans="1:11">
      <c r="A306" s="44" t="s">
        <v>340</v>
      </c>
      <c r="B306" s="44" t="s">
        <v>508</v>
      </c>
      <c r="C306" s="44" t="s">
        <v>101</v>
      </c>
      <c r="D306" s="44" t="s">
        <v>70</v>
      </c>
      <c r="E306" s="44">
        <f>E278</f>
        <v>0</v>
      </c>
      <c r="F306" s="45">
        <f>F310</f>
        <v>0</v>
      </c>
      <c r="G306" s="44">
        <f>G308</f>
        <v>0</v>
      </c>
      <c r="H306" s="44" t="s">
        <v>0</v>
      </c>
      <c r="I306" s="44" t="s">
        <v>8</v>
      </c>
      <c r="J306" s="44" t="s">
        <v>8</v>
      </c>
      <c r="K306" s="44">
        <f>SUM(F306:J306)</f>
        <v>0</v>
      </c>
    </row>
    <row r="307" hidden="1" spans="1:11">
      <c r="A307" s="44" t="s">
        <v>343</v>
      </c>
      <c r="B307" s="44" t="s">
        <v>8</v>
      </c>
      <c r="C307" s="44" t="s">
        <v>168</v>
      </c>
      <c r="D307" s="44" t="s">
        <v>142</v>
      </c>
      <c r="E307" s="44">
        <f>ROUND(E306*'[1]附表C-2营造林技术经济指标表'!$N$156,2)</f>
        <v>0</v>
      </c>
      <c r="F307" s="45" t="s">
        <v>8</v>
      </c>
      <c r="G307" s="44" t="s">
        <v>8</v>
      </c>
      <c r="H307" s="44" t="s">
        <v>8</v>
      </c>
      <c r="I307" s="44" t="s">
        <v>8</v>
      </c>
      <c r="J307" s="44" t="s">
        <v>8</v>
      </c>
      <c r="K307" s="44" t="s">
        <v>8</v>
      </c>
    </row>
    <row r="308" hidden="1" spans="1:11">
      <c r="A308" s="44" t="s">
        <v>346</v>
      </c>
      <c r="B308" s="44" t="s">
        <v>8</v>
      </c>
      <c r="C308" s="44" t="s">
        <v>169</v>
      </c>
      <c r="D308" s="44" t="s">
        <v>142</v>
      </c>
      <c r="E308" s="44">
        <f>ROUND(E306*'[1]附表C-2营造林技术经济指标表'!$N$156,2)</f>
        <v>0</v>
      </c>
      <c r="F308" s="45" t="s">
        <v>8</v>
      </c>
      <c r="G308" s="44">
        <f>ROUND(E306*'[1]附表C-2营造林技术经济指标表'!$N$158,2)</f>
        <v>0</v>
      </c>
      <c r="H308" s="44" t="s">
        <v>8</v>
      </c>
      <c r="I308" s="44" t="s">
        <v>8</v>
      </c>
      <c r="J308" s="44" t="s">
        <v>8</v>
      </c>
      <c r="K308" s="44" t="s">
        <v>8</v>
      </c>
    </row>
    <row r="309" hidden="1" spans="1:11">
      <c r="A309" s="44" t="s">
        <v>348</v>
      </c>
      <c r="B309" s="44" t="s">
        <v>8</v>
      </c>
      <c r="C309" s="44" t="s">
        <v>170</v>
      </c>
      <c r="D309" s="44" t="s">
        <v>296</v>
      </c>
      <c r="E309" s="44" t="s">
        <v>8</v>
      </c>
      <c r="F309" s="45" t="s">
        <v>8</v>
      </c>
      <c r="G309" s="44" t="s">
        <v>8</v>
      </c>
      <c r="H309" s="44" t="s">
        <v>8</v>
      </c>
      <c r="I309" s="44" t="s">
        <v>8</v>
      </c>
      <c r="J309" s="44" t="s">
        <v>8</v>
      </c>
      <c r="K309" s="44" t="s">
        <v>8</v>
      </c>
    </row>
    <row r="310" hidden="1" spans="1:11">
      <c r="A310" s="44" t="s">
        <v>521</v>
      </c>
      <c r="B310" s="44" t="s">
        <v>8</v>
      </c>
      <c r="C310" s="44" t="s">
        <v>171</v>
      </c>
      <c r="D310" s="44" t="s">
        <v>137</v>
      </c>
      <c r="E310" s="44">
        <f>ROUND(E306*'[1]附表C-2营造林技术经济指标表'!$N$141,2)</f>
        <v>0</v>
      </c>
      <c r="F310" s="45">
        <f>ROUND(E306*'[1]附表C-2营造林技术经济指标表'!$N$142,2)</f>
        <v>0</v>
      </c>
      <c r="G310" s="44" t="s">
        <v>8</v>
      </c>
      <c r="H310" s="44" t="s">
        <v>8</v>
      </c>
      <c r="I310" s="44" t="s">
        <v>8</v>
      </c>
      <c r="J310" s="44" t="s">
        <v>8</v>
      </c>
      <c r="K310" s="44" t="s">
        <v>8</v>
      </c>
    </row>
    <row r="311" hidden="1" spans="1:11">
      <c r="A311" s="44" t="s">
        <v>522</v>
      </c>
      <c r="B311" s="44" t="s">
        <v>509</v>
      </c>
      <c r="C311" s="44" t="s">
        <v>172</v>
      </c>
      <c r="D311" s="44" t="s">
        <v>70</v>
      </c>
      <c r="E311" s="44">
        <f>E278</f>
        <v>0</v>
      </c>
      <c r="F311" s="45">
        <f>SUM(F313:F315)</f>
        <v>0</v>
      </c>
      <c r="G311" s="44" t="s">
        <v>0</v>
      </c>
      <c r="H311" s="44" t="s">
        <v>0</v>
      </c>
      <c r="I311" s="44" t="s">
        <v>8</v>
      </c>
      <c r="J311" s="44" t="s">
        <v>8</v>
      </c>
      <c r="K311" s="44">
        <f>SUM(F311:J311)</f>
        <v>0</v>
      </c>
    </row>
    <row r="312" hidden="1" spans="1:11">
      <c r="A312" s="44" t="s">
        <v>523</v>
      </c>
      <c r="B312" s="44" t="s">
        <v>8</v>
      </c>
      <c r="C312" s="44" t="s">
        <v>173</v>
      </c>
      <c r="D312" s="44" t="s">
        <v>166</v>
      </c>
      <c r="E312" s="44">
        <v>3</v>
      </c>
      <c r="F312" s="45" t="s">
        <v>8</v>
      </c>
      <c r="G312" s="44" t="s">
        <v>8</v>
      </c>
      <c r="H312" s="44" t="s">
        <v>8</v>
      </c>
      <c r="I312" s="44" t="s">
        <v>8</v>
      </c>
      <c r="J312" s="44" t="s">
        <v>8</v>
      </c>
      <c r="K312" s="44" t="s">
        <v>8</v>
      </c>
    </row>
    <row r="313" hidden="1" spans="1:11">
      <c r="A313" s="44" t="s">
        <v>524</v>
      </c>
      <c r="B313" s="44" t="s">
        <v>8</v>
      </c>
      <c r="C313" s="44" t="s">
        <v>293</v>
      </c>
      <c r="D313" s="44" t="s">
        <v>137</v>
      </c>
      <c r="E313" s="44">
        <f>ROUND(E311*'[1]附表C-2营造林技术经济指标表'!$N$127,2)</f>
        <v>0</v>
      </c>
      <c r="F313" s="45">
        <f>ROUND(E311*'[1]附表C-2营造林技术经济指标表'!$N$128,2)</f>
        <v>0</v>
      </c>
      <c r="G313" s="44" t="s">
        <v>8</v>
      </c>
      <c r="H313" s="44" t="s">
        <v>8</v>
      </c>
      <c r="I313" s="44" t="s">
        <v>8</v>
      </c>
      <c r="J313" s="44" t="s">
        <v>8</v>
      </c>
      <c r="K313" s="44" t="s">
        <v>8</v>
      </c>
    </row>
    <row r="314" hidden="1" spans="1:11">
      <c r="A314" s="44" t="s">
        <v>525</v>
      </c>
      <c r="B314" s="44"/>
      <c r="C314" s="44" t="s">
        <v>526</v>
      </c>
      <c r="D314" s="44" t="s">
        <v>137</v>
      </c>
      <c r="E314" s="44">
        <f>ROUND(E311*'[1]附表C-2营造林技术经济指标表'!$N$137,2)</f>
        <v>0</v>
      </c>
      <c r="F314" s="45">
        <f>ROUND(E311*'[1]附表C-2营造林技术经济指标表'!$N$138,2)</f>
        <v>0</v>
      </c>
      <c r="G314" s="44"/>
      <c r="H314" s="44"/>
      <c r="I314" s="44"/>
      <c r="J314" s="44"/>
      <c r="K314" s="44"/>
    </row>
    <row r="315" hidden="1" spans="1:11">
      <c r="A315" s="44" t="s">
        <v>527</v>
      </c>
      <c r="B315" s="44"/>
      <c r="C315" s="44" t="s">
        <v>372</v>
      </c>
      <c r="D315" s="44" t="s">
        <v>137</v>
      </c>
      <c r="E315" s="44">
        <f>ROUND(E311*'[1]附表C-2营造林技术经济指标表'!$N$139,2)</f>
        <v>0</v>
      </c>
      <c r="F315" s="45">
        <f>ROUND(E311*'[1]附表C-2营造林技术经济指标表'!$N$140,2)</f>
        <v>0</v>
      </c>
      <c r="G315" s="44"/>
      <c r="H315" s="44"/>
      <c r="I315" s="44"/>
      <c r="J315" s="44"/>
      <c r="K315" s="44"/>
    </row>
    <row r="316" hidden="1" spans="1:11">
      <c r="A316" s="44" t="s">
        <v>528</v>
      </c>
      <c r="B316" s="44" t="s">
        <v>510</v>
      </c>
      <c r="C316" s="44" t="s">
        <v>95</v>
      </c>
      <c r="D316" s="44" t="s">
        <v>70</v>
      </c>
      <c r="E316" s="44">
        <f>E278</f>
        <v>0</v>
      </c>
      <c r="F316" s="45"/>
      <c r="G316" s="44">
        <f>G317</f>
        <v>0</v>
      </c>
      <c r="H316" s="44"/>
      <c r="I316" s="44"/>
      <c r="J316" s="44"/>
      <c r="K316" s="44"/>
    </row>
    <row r="317" hidden="1" spans="1:11">
      <c r="A317" s="44" t="s">
        <v>530</v>
      </c>
      <c r="B317" s="44"/>
      <c r="C317" s="44" t="s">
        <v>147</v>
      </c>
      <c r="D317" s="44" t="s">
        <v>148</v>
      </c>
      <c r="E317" s="44">
        <f>ROUND(E316*'[1]附表C-2营造林技术经济指标表'!$N$159,0)</f>
        <v>0</v>
      </c>
      <c r="F317" s="45"/>
      <c r="G317" s="44">
        <f>ROUND(E316*'[1]附表C-2营造林技术经济指标表'!$N$161,2)</f>
        <v>0</v>
      </c>
      <c r="H317" s="44"/>
      <c r="I317" s="44"/>
      <c r="J317" s="44"/>
      <c r="K317" s="44"/>
    </row>
    <row r="318" hidden="1" spans="1:11">
      <c r="A318" s="44" t="s">
        <v>531</v>
      </c>
      <c r="B318" s="44" t="s">
        <v>511</v>
      </c>
      <c r="C318" s="44" t="s">
        <v>105</v>
      </c>
      <c r="D318" s="44" t="s">
        <v>70</v>
      </c>
      <c r="E318" s="44">
        <f>E278</f>
        <v>0</v>
      </c>
      <c r="F318" s="45">
        <f>F321</f>
        <v>0</v>
      </c>
      <c r="G318" s="44" t="s">
        <v>0</v>
      </c>
      <c r="H318" s="44" t="s">
        <v>0</v>
      </c>
      <c r="I318" s="44" t="s">
        <v>8</v>
      </c>
      <c r="J318" s="44" t="s">
        <v>8</v>
      </c>
      <c r="K318" s="44">
        <f>SUM(F318:J318)</f>
        <v>0</v>
      </c>
    </row>
    <row r="319" hidden="1" spans="1:11">
      <c r="A319" s="44" t="s">
        <v>532</v>
      </c>
      <c r="B319" s="44" t="s">
        <v>8</v>
      </c>
      <c r="C319" s="44" t="s">
        <v>175</v>
      </c>
      <c r="D319" s="44" t="s">
        <v>176</v>
      </c>
      <c r="E319" s="44">
        <v>3</v>
      </c>
      <c r="F319" s="45" t="s">
        <v>8</v>
      </c>
      <c r="G319" s="44" t="s">
        <v>8</v>
      </c>
      <c r="H319" s="44" t="s">
        <v>8</v>
      </c>
      <c r="I319" s="44" t="s">
        <v>8</v>
      </c>
      <c r="J319" s="44" t="s">
        <v>8</v>
      </c>
      <c r="K319" s="44" t="s">
        <v>8</v>
      </c>
    </row>
    <row r="320" hidden="1" spans="1:11">
      <c r="A320" s="44" t="s">
        <v>533</v>
      </c>
      <c r="B320" s="44" t="s">
        <v>8</v>
      </c>
      <c r="C320" s="44" t="s">
        <v>179</v>
      </c>
      <c r="D320" s="44" t="s">
        <v>180</v>
      </c>
      <c r="E320" s="44">
        <f>ROUND('[1]附表C-2营造林技术经济指标表'!$N$143/3*'[1]附表C-2营造林技术经济指标表'!$N$6,2)</f>
        <v>10.67</v>
      </c>
      <c r="F320" s="45" t="s">
        <v>8</v>
      </c>
      <c r="G320" s="44" t="s">
        <v>8</v>
      </c>
      <c r="H320" s="44" t="s">
        <v>8</v>
      </c>
      <c r="I320" s="44" t="s">
        <v>8</v>
      </c>
      <c r="J320" s="44" t="s">
        <v>8</v>
      </c>
      <c r="K320" s="44" t="s">
        <v>8</v>
      </c>
    </row>
    <row r="321" hidden="1" spans="1:11">
      <c r="A321" s="44" t="s">
        <v>534</v>
      </c>
      <c r="B321" s="44" t="s">
        <v>8</v>
      </c>
      <c r="C321" s="44" t="s">
        <v>181</v>
      </c>
      <c r="D321" s="44" t="s">
        <v>137</v>
      </c>
      <c r="E321" s="44">
        <f>ROUND(E318*'[1]附表C-2营造林技术经济指标表'!$N$143,2)</f>
        <v>0</v>
      </c>
      <c r="F321" s="45">
        <f>ROUND(E318*'[1]附表C-2营造林技术经济指标表'!$N$144,2)</f>
        <v>0</v>
      </c>
      <c r="G321" s="44" t="s">
        <v>8</v>
      </c>
      <c r="H321" s="44" t="s">
        <v>8</v>
      </c>
      <c r="I321" s="44" t="s">
        <v>8</v>
      </c>
      <c r="J321" s="44" t="s">
        <v>8</v>
      </c>
      <c r="K321" s="44" t="s">
        <v>8</v>
      </c>
    </row>
    <row r="322" hidden="1" spans="1:13">
      <c r="A322" s="44" t="s">
        <v>8</v>
      </c>
      <c r="B322" s="44" t="s">
        <v>8</v>
      </c>
      <c r="C322" s="44" t="s">
        <v>106</v>
      </c>
      <c r="D322" s="44" t="s">
        <v>8</v>
      </c>
      <c r="E322" s="44" t="s">
        <v>8</v>
      </c>
      <c r="F322" s="45">
        <f>SUM(F278,F286,F294,F301,F306,F311,F316,F318)</f>
        <v>0</v>
      </c>
      <c r="G322" s="45">
        <f>SUM(G278,G286,G294,G301,G306,G311,G316,G318)</f>
        <v>0</v>
      </c>
      <c r="H322" s="44" t="s">
        <v>0</v>
      </c>
      <c r="I322" s="44" t="s">
        <v>8</v>
      </c>
      <c r="J322" s="44" t="s">
        <v>8</v>
      </c>
      <c r="K322" s="44">
        <f>SUM(F322:J322)</f>
        <v>0</v>
      </c>
      <c r="M322" s="1" t="e">
        <f>K322/E318</f>
        <v>#DIV/0!</v>
      </c>
    </row>
    <row r="323" ht="117" hidden="1" customHeight="1"/>
    <row r="324" hidden="1" customHeight="1" spans="7:11">
      <c r="G324" s="28" t="s">
        <v>512</v>
      </c>
      <c r="H324" s="28" t="s">
        <v>0</v>
      </c>
      <c r="I324" s="28" t="s">
        <v>0</v>
      </c>
      <c r="J324" s="28" t="s">
        <v>0</v>
      </c>
      <c r="K324" s="28" t="s">
        <v>0</v>
      </c>
    </row>
  </sheetData>
  <mergeCells count="126">
    <mergeCell ref="A1:B1"/>
    <mergeCell ref="C1:I1"/>
    <mergeCell ref="J1:K1"/>
    <mergeCell ref="A2:K2"/>
    <mergeCell ref="A3:B3"/>
    <mergeCell ref="C3:I3"/>
    <mergeCell ref="J3:K3"/>
    <mergeCell ref="A4:B4"/>
    <mergeCell ref="C4:I4"/>
    <mergeCell ref="J4:K4"/>
    <mergeCell ref="A5:B5"/>
    <mergeCell ref="C5:I5"/>
    <mergeCell ref="J5:K5"/>
    <mergeCell ref="F6:K6"/>
    <mergeCell ref="A27:F27"/>
    <mergeCell ref="G27:K27"/>
    <mergeCell ref="A28:B28"/>
    <mergeCell ref="C28:I28"/>
    <mergeCell ref="J28:K28"/>
    <mergeCell ref="G54:K54"/>
    <mergeCell ref="A55:B55"/>
    <mergeCell ref="C55:I55"/>
    <mergeCell ref="J55:K55"/>
    <mergeCell ref="A56:K56"/>
    <mergeCell ref="A57:B57"/>
    <mergeCell ref="C57:I57"/>
    <mergeCell ref="J57:K57"/>
    <mergeCell ref="A58:B58"/>
    <mergeCell ref="C58:I58"/>
    <mergeCell ref="J58:K58"/>
    <mergeCell ref="A59:B59"/>
    <mergeCell ref="C59:I59"/>
    <mergeCell ref="J59:K59"/>
    <mergeCell ref="F60:K60"/>
    <mergeCell ref="A81:F81"/>
    <mergeCell ref="G81:K81"/>
    <mergeCell ref="A82:B82"/>
    <mergeCell ref="C82:I82"/>
    <mergeCell ref="J82:K82"/>
    <mergeCell ref="G108:K108"/>
    <mergeCell ref="A109:B109"/>
    <mergeCell ref="C109:I109"/>
    <mergeCell ref="J109:K109"/>
    <mergeCell ref="A110:K110"/>
    <mergeCell ref="A111:B111"/>
    <mergeCell ref="C111:I111"/>
    <mergeCell ref="J111:K111"/>
    <mergeCell ref="A112:B112"/>
    <mergeCell ref="C112:I112"/>
    <mergeCell ref="J112:K112"/>
    <mergeCell ref="A113:B113"/>
    <mergeCell ref="C113:I113"/>
    <mergeCell ref="J113:K113"/>
    <mergeCell ref="F114:K114"/>
    <mergeCell ref="A135:F135"/>
    <mergeCell ref="G135:K135"/>
    <mergeCell ref="A136:B136"/>
    <mergeCell ref="C136:I136"/>
    <mergeCell ref="J136:K136"/>
    <mergeCell ref="G162:K162"/>
    <mergeCell ref="A163:B163"/>
    <mergeCell ref="C163:I163"/>
    <mergeCell ref="J163:K163"/>
    <mergeCell ref="A164:K164"/>
    <mergeCell ref="A165:B165"/>
    <mergeCell ref="C165:I165"/>
    <mergeCell ref="J165:K165"/>
    <mergeCell ref="A166:B166"/>
    <mergeCell ref="C166:I166"/>
    <mergeCell ref="J166:K166"/>
    <mergeCell ref="A167:B167"/>
    <mergeCell ref="C167:I167"/>
    <mergeCell ref="J167:K167"/>
    <mergeCell ref="F168:K168"/>
    <mergeCell ref="A189:F189"/>
    <mergeCell ref="G189:K189"/>
    <mergeCell ref="A190:B190"/>
    <mergeCell ref="C190:I190"/>
    <mergeCell ref="J190:K190"/>
    <mergeCell ref="G216:K216"/>
    <mergeCell ref="A217:B217"/>
    <mergeCell ref="C217:I217"/>
    <mergeCell ref="J217:K217"/>
    <mergeCell ref="A218:K218"/>
    <mergeCell ref="A219:B219"/>
    <mergeCell ref="C219:I219"/>
    <mergeCell ref="J219:K219"/>
    <mergeCell ref="A220:B220"/>
    <mergeCell ref="C220:I220"/>
    <mergeCell ref="J220:K220"/>
    <mergeCell ref="A221:B221"/>
    <mergeCell ref="C221:I221"/>
    <mergeCell ref="J221:K221"/>
    <mergeCell ref="F222:K222"/>
    <mergeCell ref="A243:F243"/>
    <mergeCell ref="G243:K243"/>
    <mergeCell ref="A244:B244"/>
    <mergeCell ref="C244:I244"/>
    <mergeCell ref="J244:K244"/>
    <mergeCell ref="G270:K270"/>
    <mergeCell ref="J271:K271"/>
    <mergeCell ref="A6:A7"/>
    <mergeCell ref="A60:A61"/>
    <mergeCell ref="A114:A115"/>
    <mergeCell ref="A168:A169"/>
    <mergeCell ref="A222:A223"/>
    <mergeCell ref="B6:B7"/>
    <mergeCell ref="B60:B61"/>
    <mergeCell ref="B114:B115"/>
    <mergeCell ref="B168:B169"/>
    <mergeCell ref="B222:B223"/>
    <mergeCell ref="C6:C7"/>
    <mergeCell ref="C60:C61"/>
    <mergeCell ref="C114:C115"/>
    <mergeCell ref="C168:C169"/>
    <mergeCell ref="C222:C223"/>
    <mergeCell ref="D6:D7"/>
    <mergeCell ref="D60:D61"/>
    <mergeCell ref="D114:D115"/>
    <mergeCell ref="D168:D169"/>
    <mergeCell ref="D222:D223"/>
    <mergeCell ref="E6:E7"/>
    <mergeCell ref="E60:E61"/>
    <mergeCell ref="E114:E115"/>
    <mergeCell ref="E168:E169"/>
    <mergeCell ref="E222:E22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99"/>
  <sheetViews>
    <sheetView showZeros="0" topLeftCell="A90" workbookViewId="0">
      <selection activeCell="I98" sqref="I18 I38 I58 I78 I98"/>
    </sheetView>
  </sheetViews>
  <sheetFormatPr defaultColWidth="8.88888888888889" defaultRowHeight="14.4"/>
  <cols>
    <col min="1" max="5" width="8.88888888888889" style="1"/>
    <col min="6" max="6" width="23.3333333333333" style="1" customWidth="1"/>
    <col min="7" max="7" width="14" style="1" customWidth="1"/>
    <col min="8" max="8" width="8.88888888888889" style="1"/>
    <col min="9" max="9" width="10.5555555555556" style="1" customWidth="1"/>
    <col min="10" max="10" width="6" style="1" customWidth="1"/>
    <col min="11" max="11" width="8.11111111111111" style="1" customWidth="1"/>
    <col min="12" max="16384" width="8.88888888888889" style="1"/>
  </cols>
  <sheetData>
    <row r="1" ht="26.4" customHeight="1" spans="1:13">
      <c r="A1" s="14" t="s">
        <v>191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3" t="s">
        <v>547</v>
      </c>
      <c r="M1" s="13"/>
    </row>
    <row r="2" spans="1:13">
      <c r="A2" s="28" t="s">
        <v>22</v>
      </c>
      <c r="B2" s="28" t="s">
        <v>0</v>
      </c>
      <c r="C2" s="17" t="s">
        <v>548</v>
      </c>
      <c r="D2" s="17" t="s">
        <v>0</v>
      </c>
      <c r="E2" s="17" t="s">
        <v>0</v>
      </c>
      <c r="F2" s="17" t="s">
        <v>0</v>
      </c>
      <c r="G2" s="17"/>
      <c r="H2" s="17" t="s">
        <v>0</v>
      </c>
      <c r="I2" s="17" t="s">
        <v>0</v>
      </c>
      <c r="J2" s="17" t="s">
        <v>0</v>
      </c>
      <c r="K2" s="17" t="s">
        <v>81</v>
      </c>
      <c r="L2" s="17" t="s">
        <v>0</v>
      </c>
      <c r="M2" s="33"/>
    </row>
    <row r="3" customHeight="1" spans="1:13">
      <c r="A3" s="28" t="s">
        <v>82</v>
      </c>
      <c r="B3" s="28" t="s">
        <v>0</v>
      </c>
      <c r="C3" s="17" t="s">
        <v>549</v>
      </c>
      <c r="D3" s="17" t="s">
        <v>0</v>
      </c>
      <c r="E3" s="17" t="s">
        <v>0</v>
      </c>
      <c r="F3" s="17" t="s">
        <v>0</v>
      </c>
      <c r="G3" s="17"/>
      <c r="H3" s="17" t="s">
        <v>0</v>
      </c>
      <c r="I3" s="17" t="s">
        <v>0</v>
      </c>
      <c r="J3" s="17" t="s">
        <v>0</v>
      </c>
      <c r="K3" s="17" t="str">
        <f>"工程数量："&amp;'[1]附表C-6营造林工程投资概算'!$D$12</f>
        <v>工程数量：1326.2</v>
      </c>
      <c r="L3" s="17" t="s">
        <v>0</v>
      </c>
      <c r="M3" s="15"/>
    </row>
    <row r="4" spans="1:13">
      <c r="A4" s="28" t="s">
        <v>84</v>
      </c>
      <c r="B4" s="28" t="s">
        <v>0</v>
      </c>
      <c r="C4" s="17" t="s">
        <v>550</v>
      </c>
      <c r="D4" s="17" t="s">
        <v>0</v>
      </c>
      <c r="E4" s="17" t="s">
        <v>0</v>
      </c>
      <c r="F4" s="17" t="s">
        <v>0</v>
      </c>
      <c r="G4" s="17"/>
      <c r="H4" s="17" t="s">
        <v>0</v>
      </c>
      <c r="I4" s="17" t="s">
        <v>0</v>
      </c>
      <c r="J4" s="17" t="s">
        <v>0</v>
      </c>
      <c r="K4" s="34"/>
      <c r="L4" s="34"/>
      <c r="M4" s="15"/>
    </row>
    <row r="5" ht="40.8" customHeight="1" spans="1:13">
      <c r="A5" s="4" t="s">
        <v>193</v>
      </c>
      <c r="B5" s="4" t="s">
        <v>55</v>
      </c>
      <c r="C5" s="4" t="s">
        <v>0</v>
      </c>
      <c r="D5" s="4" t="s">
        <v>56</v>
      </c>
      <c r="E5" s="4" t="s">
        <v>0</v>
      </c>
      <c r="F5" s="4" t="s">
        <v>194</v>
      </c>
      <c r="G5" s="4" t="s">
        <v>195</v>
      </c>
      <c r="H5" s="4" t="s">
        <v>196</v>
      </c>
      <c r="I5" s="4" t="s">
        <v>197</v>
      </c>
      <c r="J5" s="4" t="s">
        <v>198</v>
      </c>
      <c r="K5" s="4" t="s">
        <v>0</v>
      </c>
      <c r="L5" s="4" t="s">
        <v>199</v>
      </c>
      <c r="M5" s="4" t="s">
        <v>35</v>
      </c>
    </row>
    <row r="6" spans="1:13">
      <c r="A6" s="4" t="s">
        <v>68</v>
      </c>
      <c r="B6" s="4" t="s">
        <v>551</v>
      </c>
      <c r="C6" s="4" t="s">
        <v>0</v>
      </c>
      <c r="D6" s="6" t="s">
        <v>201</v>
      </c>
      <c r="E6" s="6" t="s">
        <v>0</v>
      </c>
      <c r="F6" s="4" t="s">
        <v>8</v>
      </c>
      <c r="G6" s="4"/>
      <c r="H6" s="4" t="s">
        <v>8</v>
      </c>
      <c r="I6" s="9">
        <f>SUM(I7:I10)</f>
        <v>29807.09</v>
      </c>
      <c r="J6" s="9" t="s">
        <v>0</v>
      </c>
      <c r="K6" s="9" t="s">
        <v>0</v>
      </c>
      <c r="L6" s="9" t="s">
        <v>0</v>
      </c>
      <c r="M6" s="9" t="s">
        <v>8</v>
      </c>
    </row>
    <row r="7" ht="39" customHeight="1" spans="1:13">
      <c r="A7" s="4" t="s">
        <v>202</v>
      </c>
      <c r="B7" s="4" t="s">
        <v>203</v>
      </c>
      <c r="C7" s="4" t="s">
        <v>0</v>
      </c>
      <c r="D7" s="6" t="s">
        <v>204</v>
      </c>
      <c r="E7" s="6" t="s">
        <v>0</v>
      </c>
      <c r="F7" s="4" t="s">
        <v>205</v>
      </c>
      <c r="G7" s="29">
        <f>'D3-3 分部分项工程量清单综合单价计算表(分页不带材料)~3'!F15*0.3</f>
        <v>405538.808442</v>
      </c>
      <c r="H7" s="4">
        <v>0.55</v>
      </c>
      <c r="I7" s="9">
        <f>ROUND(G7*H7/100,2)</f>
        <v>2230.46</v>
      </c>
      <c r="J7" s="9" t="s">
        <v>0</v>
      </c>
      <c r="K7" s="9" t="s">
        <v>0</v>
      </c>
      <c r="L7" s="9" t="s">
        <v>0</v>
      </c>
      <c r="M7" s="9" t="s">
        <v>8</v>
      </c>
    </row>
    <row r="8" ht="39" customHeight="1" spans="1:13">
      <c r="A8" s="4" t="s">
        <v>206</v>
      </c>
      <c r="B8" s="4" t="s">
        <v>207</v>
      </c>
      <c r="C8" s="4" t="s">
        <v>0</v>
      </c>
      <c r="D8" s="6" t="s">
        <v>208</v>
      </c>
      <c r="E8" s="6" t="s">
        <v>0</v>
      </c>
      <c r="F8" s="4" t="s">
        <v>205</v>
      </c>
      <c r="G8" s="29">
        <f>$G$7</f>
        <v>405538.808442</v>
      </c>
      <c r="H8" s="4">
        <v>1.35</v>
      </c>
      <c r="I8" s="9">
        <f t="shared" ref="I8:I10" si="0">ROUND(G8*H8/100,2)</f>
        <v>5474.77</v>
      </c>
      <c r="J8" s="9" t="s">
        <v>0</v>
      </c>
      <c r="K8" s="9" t="s">
        <v>0</v>
      </c>
      <c r="L8" s="9" t="s">
        <v>0</v>
      </c>
      <c r="M8" s="9" t="s">
        <v>8</v>
      </c>
    </row>
    <row r="9" ht="39" customHeight="1" spans="1:13">
      <c r="A9" s="4" t="s">
        <v>209</v>
      </c>
      <c r="B9" s="4" t="s">
        <v>210</v>
      </c>
      <c r="C9" s="4" t="s">
        <v>0</v>
      </c>
      <c r="D9" s="6" t="s">
        <v>211</v>
      </c>
      <c r="E9" s="6" t="s">
        <v>0</v>
      </c>
      <c r="F9" s="4" t="s">
        <v>205</v>
      </c>
      <c r="G9" s="29">
        <f t="shared" ref="G9:G10" si="1">$G$7</f>
        <v>405538.808442</v>
      </c>
      <c r="H9" s="4">
        <v>2.1</v>
      </c>
      <c r="I9" s="9">
        <f t="shared" si="0"/>
        <v>8516.31</v>
      </c>
      <c r="J9" s="9" t="s">
        <v>0</v>
      </c>
      <c r="K9" s="9" t="s">
        <v>0</v>
      </c>
      <c r="L9" s="9" t="s">
        <v>0</v>
      </c>
      <c r="M9" s="9" t="s">
        <v>8</v>
      </c>
    </row>
    <row r="10" ht="39" customHeight="1" spans="1:13">
      <c r="A10" s="4" t="s">
        <v>212</v>
      </c>
      <c r="B10" s="4" t="s">
        <v>213</v>
      </c>
      <c r="C10" s="4" t="s">
        <v>0</v>
      </c>
      <c r="D10" s="6" t="s">
        <v>214</v>
      </c>
      <c r="E10" s="6" t="s">
        <v>0</v>
      </c>
      <c r="F10" s="4" t="s">
        <v>205</v>
      </c>
      <c r="G10" s="29">
        <f t="shared" si="1"/>
        <v>405538.808442</v>
      </c>
      <c r="H10" s="4">
        <v>3.35</v>
      </c>
      <c r="I10" s="9">
        <f t="shared" si="0"/>
        <v>13585.55</v>
      </c>
      <c r="J10" s="9" t="s">
        <v>0</v>
      </c>
      <c r="K10" s="9" t="s">
        <v>0</v>
      </c>
      <c r="L10" s="9" t="s">
        <v>0</v>
      </c>
      <c r="M10" s="9" t="s">
        <v>8</v>
      </c>
    </row>
    <row r="11" spans="1:13">
      <c r="A11" s="4" t="s">
        <v>71</v>
      </c>
      <c r="B11" s="4" t="s">
        <v>552</v>
      </c>
      <c r="C11" s="4" t="s">
        <v>0</v>
      </c>
      <c r="D11" s="6" t="s">
        <v>216</v>
      </c>
      <c r="E11" s="6" t="s">
        <v>0</v>
      </c>
      <c r="F11" s="4" t="s">
        <v>8</v>
      </c>
      <c r="G11" s="4"/>
      <c r="H11" s="4" t="s">
        <v>8</v>
      </c>
      <c r="I11" s="9"/>
      <c r="J11" s="9" t="s">
        <v>0</v>
      </c>
      <c r="K11" s="9" t="s">
        <v>0</v>
      </c>
      <c r="L11" s="9" t="s">
        <v>0</v>
      </c>
      <c r="M11" s="9" t="s">
        <v>8</v>
      </c>
    </row>
    <row r="12" spans="1:13">
      <c r="A12" s="4" t="s">
        <v>73</v>
      </c>
      <c r="B12" s="4" t="s">
        <v>553</v>
      </c>
      <c r="C12" s="4" t="s">
        <v>0</v>
      </c>
      <c r="D12" s="6" t="s">
        <v>218</v>
      </c>
      <c r="E12" s="6" t="s">
        <v>0</v>
      </c>
      <c r="F12" s="4" t="s">
        <v>8</v>
      </c>
      <c r="G12" s="4"/>
      <c r="H12" s="4" t="s">
        <v>8</v>
      </c>
      <c r="I12" s="9"/>
      <c r="J12" s="9" t="s">
        <v>0</v>
      </c>
      <c r="K12" s="9" t="s">
        <v>0</v>
      </c>
      <c r="L12" s="9" t="s">
        <v>0</v>
      </c>
      <c r="M12" s="9" t="s">
        <v>8</v>
      </c>
    </row>
    <row r="13" ht="48.6" customHeight="1" spans="1:13">
      <c r="A13" s="4" t="s">
        <v>94</v>
      </c>
      <c r="B13" s="4" t="s">
        <v>554</v>
      </c>
      <c r="C13" s="4" t="s">
        <v>0</v>
      </c>
      <c r="D13" s="6" t="s">
        <v>220</v>
      </c>
      <c r="E13" s="6" t="s">
        <v>0</v>
      </c>
      <c r="F13" s="4" t="s">
        <v>205</v>
      </c>
      <c r="G13" s="29">
        <f t="shared" ref="G13" si="2">$G$7</f>
        <v>405538.808442</v>
      </c>
      <c r="H13" s="30">
        <v>0.36</v>
      </c>
      <c r="I13" s="9">
        <f t="shared" ref="I13" si="3">ROUND(G13*H13/100,2)</f>
        <v>1459.94</v>
      </c>
      <c r="J13" s="9" t="s">
        <v>0</v>
      </c>
      <c r="K13" s="9" t="s">
        <v>0</v>
      </c>
      <c r="L13" s="9" t="s">
        <v>0</v>
      </c>
      <c r="M13" s="9" t="s">
        <v>8</v>
      </c>
    </row>
    <row r="14" spans="1:13">
      <c r="A14" s="4" t="s">
        <v>96</v>
      </c>
      <c r="B14" s="4" t="s">
        <v>555</v>
      </c>
      <c r="C14" s="4" t="s">
        <v>0</v>
      </c>
      <c r="D14" s="6" t="s">
        <v>222</v>
      </c>
      <c r="E14" s="6" t="s">
        <v>0</v>
      </c>
      <c r="F14" s="4" t="s">
        <v>8</v>
      </c>
      <c r="G14" s="4"/>
      <c r="H14" s="4" t="s">
        <v>8</v>
      </c>
      <c r="I14" s="9" t="s">
        <v>0</v>
      </c>
      <c r="J14" s="9" t="s">
        <v>0</v>
      </c>
      <c r="K14" s="9" t="s">
        <v>0</v>
      </c>
      <c r="L14" s="9" t="s">
        <v>0</v>
      </c>
      <c r="M14" s="9" t="s">
        <v>8</v>
      </c>
    </row>
    <row r="15" ht="25.8" customHeight="1" spans="1:13">
      <c r="A15" s="4" t="s">
        <v>98</v>
      </c>
      <c r="B15" s="4" t="s">
        <v>556</v>
      </c>
      <c r="C15" s="4" t="s">
        <v>0</v>
      </c>
      <c r="D15" s="6" t="s">
        <v>224</v>
      </c>
      <c r="E15" s="6" t="s">
        <v>0</v>
      </c>
      <c r="F15" s="4" t="s">
        <v>8</v>
      </c>
      <c r="G15" s="4"/>
      <c r="H15" s="4" t="s">
        <v>8</v>
      </c>
      <c r="I15" s="9" t="s">
        <v>0</v>
      </c>
      <c r="J15" s="9" t="s">
        <v>0</v>
      </c>
      <c r="K15" s="9" t="s">
        <v>0</v>
      </c>
      <c r="L15" s="9" t="s">
        <v>0</v>
      </c>
      <c r="M15" s="9" t="s">
        <v>8</v>
      </c>
    </row>
    <row r="16" ht="16.8" customHeight="1" spans="1:13">
      <c r="A16" s="4" t="s">
        <v>100</v>
      </c>
      <c r="B16" s="4" t="s">
        <v>557</v>
      </c>
      <c r="C16" s="4" t="s">
        <v>0</v>
      </c>
      <c r="D16" s="6" t="s">
        <v>226</v>
      </c>
      <c r="E16" s="6" t="s">
        <v>0</v>
      </c>
      <c r="F16" s="4" t="s">
        <v>8</v>
      </c>
      <c r="G16" s="4"/>
      <c r="H16" s="4" t="s">
        <v>8</v>
      </c>
      <c r="I16" s="9" t="s">
        <v>0</v>
      </c>
      <c r="J16" s="9" t="s">
        <v>0</v>
      </c>
      <c r="K16" s="9" t="s">
        <v>0</v>
      </c>
      <c r="L16" s="9" t="s">
        <v>0</v>
      </c>
      <c r="M16" s="9" t="s">
        <v>8</v>
      </c>
    </row>
    <row r="17" ht="35.4" customHeight="1" spans="1:13">
      <c r="A17" s="4" t="s">
        <v>102</v>
      </c>
      <c r="B17" s="4" t="s">
        <v>558</v>
      </c>
      <c r="C17" s="4" t="s">
        <v>0</v>
      </c>
      <c r="D17" s="6" t="s">
        <v>228</v>
      </c>
      <c r="E17" s="6" t="s">
        <v>0</v>
      </c>
      <c r="F17" s="4" t="s">
        <v>229</v>
      </c>
      <c r="G17" s="29">
        <f t="shared" ref="G17" si="4">$G$7</f>
        <v>405538.808442</v>
      </c>
      <c r="H17" s="30">
        <v>0.09</v>
      </c>
      <c r="I17" s="9">
        <f t="shared" ref="I17" si="5">ROUND(G17*H17/100,2)</f>
        <v>364.98</v>
      </c>
      <c r="J17" s="35"/>
      <c r="K17" s="36"/>
      <c r="L17" s="9"/>
      <c r="M17" s="9"/>
    </row>
    <row r="18" spans="1:13">
      <c r="A18" s="31" t="s">
        <v>90</v>
      </c>
      <c r="B18" s="31"/>
      <c r="C18" s="31"/>
      <c r="D18" s="31"/>
      <c r="E18" s="31"/>
      <c r="F18" s="32"/>
      <c r="G18" s="32"/>
      <c r="H18" s="32"/>
      <c r="I18" s="37">
        <f>SUM(I7:I17)</f>
        <v>31632.01</v>
      </c>
      <c r="J18" s="38"/>
      <c r="K18" s="39"/>
      <c r="L18" s="32"/>
      <c r="M18" s="32"/>
    </row>
    <row r="19" ht="50.4" customHeight="1" spans="1:13">
      <c r="A19" s="17" t="s">
        <v>559</v>
      </c>
      <c r="B19" s="17" t="s">
        <v>0</v>
      </c>
      <c r="C19" s="17" t="s">
        <v>0</v>
      </c>
      <c r="D19" s="17" t="s">
        <v>0</v>
      </c>
      <c r="E19" s="17" t="s">
        <v>0</v>
      </c>
      <c r="F19" s="17" t="s">
        <v>0</v>
      </c>
      <c r="G19" s="17"/>
      <c r="H19" s="17" t="s">
        <v>0</v>
      </c>
      <c r="I19" s="17" t="s">
        <v>0</v>
      </c>
      <c r="J19" s="17" t="s">
        <v>0</v>
      </c>
      <c r="K19" s="17" t="s">
        <v>0</v>
      </c>
      <c r="L19" s="17" t="s">
        <v>0</v>
      </c>
      <c r="M19" s="17" t="s">
        <v>0</v>
      </c>
    </row>
    <row r="21" ht="20.4" customHeight="1" spans="1:13">
      <c r="A21" s="14" t="s">
        <v>191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 t="s">
        <v>560</v>
      </c>
      <c r="M21" s="13"/>
    </row>
    <row r="22" spans="1:13">
      <c r="A22" s="28" t="s">
        <v>22</v>
      </c>
      <c r="B22" s="28" t="s">
        <v>0</v>
      </c>
      <c r="C22" s="17" t="s">
        <v>548</v>
      </c>
      <c r="D22" s="17" t="s">
        <v>0</v>
      </c>
      <c r="E22" s="17" t="s">
        <v>0</v>
      </c>
      <c r="F22" s="17" t="s">
        <v>0</v>
      </c>
      <c r="G22" s="17"/>
      <c r="H22" s="17" t="s">
        <v>0</v>
      </c>
      <c r="I22" s="17" t="s">
        <v>0</v>
      </c>
      <c r="J22" s="17" t="s">
        <v>0</v>
      </c>
      <c r="K22" s="17" t="s">
        <v>81</v>
      </c>
      <c r="L22" s="17" t="s">
        <v>0</v>
      </c>
      <c r="M22" s="33"/>
    </row>
    <row r="23" customHeight="1" spans="1:13">
      <c r="A23" s="28" t="s">
        <v>82</v>
      </c>
      <c r="B23" s="28" t="s">
        <v>0</v>
      </c>
      <c r="C23" s="17" t="s">
        <v>561</v>
      </c>
      <c r="D23" s="17" t="s">
        <v>0</v>
      </c>
      <c r="E23" s="17" t="s">
        <v>0</v>
      </c>
      <c r="F23" s="17" t="s">
        <v>0</v>
      </c>
      <c r="G23" s="17"/>
      <c r="H23" s="17" t="s">
        <v>0</v>
      </c>
      <c r="I23" s="17" t="s">
        <v>0</v>
      </c>
      <c r="J23" s="17" t="s">
        <v>0</v>
      </c>
      <c r="K23" s="17" t="str">
        <f>"工程数量："&amp;'[1]附表C-6营造林工程投资概算'!$D$13</f>
        <v>工程数量：2052.76</v>
      </c>
      <c r="L23" s="17" t="s">
        <v>0</v>
      </c>
      <c r="M23" s="15"/>
    </row>
    <row r="24" spans="1:13">
      <c r="A24" s="28" t="s">
        <v>84</v>
      </c>
      <c r="B24" s="28" t="s">
        <v>0</v>
      </c>
      <c r="C24" s="17" t="s">
        <v>562</v>
      </c>
      <c r="D24" s="17" t="s">
        <v>0</v>
      </c>
      <c r="E24" s="17" t="s">
        <v>0</v>
      </c>
      <c r="F24" s="17" t="s">
        <v>0</v>
      </c>
      <c r="G24" s="17"/>
      <c r="H24" s="17" t="s">
        <v>0</v>
      </c>
      <c r="I24" s="17" t="s">
        <v>0</v>
      </c>
      <c r="J24" s="17" t="s">
        <v>0</v>
      </c>
      <c r="K24" s="34"/>
      <c r="L24" s="34"/>
      <c r="M24" s="15"/>
    </row>
    <row r="25" ht="28.2" customHeight="1" spans="1:13">
      <c r="A25" s="4" t="s">
        <v>193</v>
      </c>
      <c r="B25" s="4" t="s">
        <v>55</v>
      </c>
      <c r="C25" s="4" t="s">
        <v>0</v>
      </c>
      <c r="D25" s="4" t="s">
        <v>56</v>
      </c>
      <c r="E25" s="4" t="s">
        <v>0</v>
      </c>
      <c r="F25" s="4" t="s">
        <v>194</v>
      </c>
      <c r="G25" s="4" t="s">
        <v>195</v>
      </c>
      <c r="H25" s="4" t="s">
        <v>196</v>
      </c>
      <c r="I25" s="4" t="s">
        <v>197</v>
      </c>
      <c r="J25" s="4" t="s">
        <v>198</v>
      </c>
      <c r="K25" s="4" t="s">
        <v>0</v>
      </c>
      <c r="L25" s="4" t="s">
        <v>199</v>
      </c>
      <c r="M25" s="4" t="s">
        <v>35</v>
      </c>
    </row>
    <row r="26" spans="1:13">
      <c r="A26" s="4" t="s">
        <v>68</v>
      </c>
      <c r="B26" s="4" t="s">
        <v>563</v>
      </c>
      <c r="C26" s="4" t="s">
        <v>0</v>
      </c>
      <c r="D26" s="6" t="s">
        <v>201</v>
      </c>
      <c r="E26" s="6" t="s">
        <v>0</v>
      </c>
      <c r="F26" s="4" t="s">
        <v>8</v>
      </c>
      <c r="G26" s="4"/>
      <c r="H26" s="4" t="s">
        <v>8</v>
      </c>
      <c r="I26" s="9">
        <f>SUM(I27:I30)</f>
        <v>41415.19</v>
      </c>
      <c r="J26" s="9" t="s">
        <v>0</v>
      </c>
      <c r="K26" s="9" t="s">
        <v>0</v>
      </c>
      <c r="L26" s="9" t="s">
        <v>0</v>
      </c>
      <c r="M26" s="9" t="s">
        <v>8</v>
      </c>
    </row>
    <row r="27" ht="36" spans="1:13">
      <c r="A27" s="4" t="s">
        <v>202</v>
      </c>
      <c r="B27" s="4" t="s">
        <v>203</v>
      </c>
      <c r="C27" s="4" t="s">
        <v>0</v>
      </c>
      <c r="D27" s="6" t="s">
        <v>204</v>
      </c>
      <c r="E27" s="6" t="s">
        <v>0</v>
      </c>
      <c r="F27" s="4" t="s">
        <v>205</v>
      </c>
      <c r="G27" s="29">
        <f>'D3-3 分部分项工程量清单综合单价计算表(分页不带材料)~3'!F32*0.3</f>
        <v>563472.052008</v>
      </c>
      <c r="H27" s="4">
        <v>0.55</v>
      </c>
      <c r="I27" s="9">
        <f>ROUND(G27*H27/100,2)</f>
        <v>3099.1</v>
      </c>
      <c r="J27" s="9" t="s">
        <v>0</v>
      </c>
      <c r="K27" s="9" t="s">
        <v>0</v>
      </c>
      <c r="L27" s="9" t="s">
        <v>0</v>
      </c>
      <c r="M27" s="9" t="s">
        <v>8</v>
      </c>
    </row>
    <row r="28" ht="36" spans="1:13">
      <c r="A28" s="4" t="s">
        <v>206</v>
      </c>
      <c r="B28" s="4" t="s">
        <v>207</v>
      </c>
      <c r="C28" s="4" t="s">
        <v>0</v>
      </c>
      <c r="D28" s="6" t="s">
        <v>208</v>
      </c>
      <c r="E28" s="6" t="s">
        <v>0</v>
      </c>
      <c r="F28" s="4" t="s">
        <v>205</v>
      </c>
      <c r="G28" s="29">
        <f>$G$27</f>
        <v>563472.052008</v>
      </c>
      <c r="H28" s="4">
        <v>1.35</v>
      </c>
      <c r="I28" s="9">
        <f t="shared" ref="I28:I30" si="6">ROUND(G28*H28/100,2)</f>
        <v>7606.87</v>
      </c>
      <c r="J28" s="9" t="s">
        <v>0</v>
      </c>
      <c r="K28" s="9" t="s">
        <v>0</v>
      </c>
      <c r="L28" s="9" t="s">
        <v>0</v>
      </c>
      <c r="M28" s="9" t="s">
        <v>8</v>
      </c>
    </row>
    <row r="29" ht="36" spans="1:13">
      <c r="A29" s="4" t="s">
        <v>209</v>
      </c>
      <c r="B29" s="4" t="s">
        <v>210</v>
      </c>
      <c r="C29" s="4" t="s">
        <v>0</v>
      </c>
      <c r="D29" s="6" t="s">
        <v>211</v>
      </c>
      <c r="E29" s="6" t="s">
        <v>0</v>
      </c>
      <c r="F29" s="4" t="s">
        <v>205</v>
      </c>
      <c r="G29" s="29">
        <f t="shared" ref="G29:G30" si="7">$G$27</f>
        <v>563472.052008</v>
      </c>
      <c r="H29" s="4">
        <v>2.1</v>
      </c>
      <c r="I29" s="9">
        <f t="shared" si="6"/>
        <v>11832.91</v>
      </c>
      <c r="J29" s="9" t="s">
        <v>0</v>
      </c>
      <c r="K29" s="9" t="s">
        <v>0</v>
      </c>
      <c r="L29" s="9" t="s">
        <v>0</v>
      </c>
      <c r="M29" s="9" t="s">
        <v>8</v>
      </c>
    </row>
    <row r="30" ht="36" spans="1:13">
      <c r="A30" s="4" t="s">
        <v>212</v>
      </c>
      <c r="B30" s="4" t="s">
        <v>213</v>
      </c>
      <c r="C30" s="4" t="s">
        <v>0</v>
      </c>
      <c r="D30" s="6" t="s">
        <v>214</v>
      </c>
      <c r="E30" s="6" t="s">
        <v>0</v>
      </c>
      <c r="F30" s="4" t="s">
        <v>205</v>
      </c>
      <c r="G30" s="29">
        <f t="shared" si="7"/>
        <v>563472.052008</v>
      </c>
      <c r="H30" s="4">
        <v>3.35</v>
      </c>
      <c r="I30" s="9">
        <f t="shared" si="6"/>
        <v>18876.31</v>
      </c>
      <c r="J30" s="9" t="s">
        <v>0</v>
      </c>
      <c r="K30" s="9" t="s">
        <v>0</v>
      </c>
      <c r="L30" s="9" t="s">
        <v>0</v>
      </c>
      <c r="M30" s="9" t="s">
        <v>8</v>
      </c>
    </row>
    <row r="31" spans="1:13">
      <c r="A31" s="4" t="s">
        <v>71</v>
      </c>
      <c r="B31" s="4" t="s">
        <v>564</v>
      </c>
      <c r="C31" s="4" t="s">
        <v>0</v>
      </c>
      <c r="D31" s="6" t="s">
        <v>216</v>
      </c>
      <c r="E31" s="6" t="s">
        <v>0</v>
      </c>
      <c r="F31" s="4" t="s">
        <v>8</v>
      </c>
      <c r="G31" s="4"/>
      <c r="H31" s="4" t="s">
        <v>8</v>
      </c>
      <c r="I31" s="9"/>
      <c r="J31" s="9" t="s">
        <v>0</v>
      </c>
      <c r="K31" s="9" t="s">
        <v>0</v>
      </c>
      <c r="L31" s="9" t="s">
        <v>0</v>
      </c>
      <c r="M31" s="9" t="s">
        <v>8</v>
      </c>
    </row>
    <row r="32" spans="1:13">
      <c r="A32" s="4" t="s">
        <v>73</v>
      </c>
      <c r="B32" s="4" t="s">
        <v>565</v>
      </c>
      <c r="C32" s="4" t="s">
        <v>0</v>
      </c>
      <c r="D32" s="6" t="s">
        <v>218</v>
      </c>
      <c r="E32" s="6" t="s">
        <v>0</v>
      </c>
      <c r="F32" s="4" t="s">
        <v>8</v>
      </c>
      <c r="G32" s="4"/>
      <c r="H32" s="4" t="s">
        <v>8</v>
      </c>
      <c r="I32" s="9"/>
      <c r="J32" s="9" t="s">
        <v>0</v>
      </c>
      <c r="K32" s="9" t="s">
        <v>0</v>
      </c>
      <c r="L32" s="9" t="s">
        <v>0</v>
      </c>
      <c r="M32" s="9" t="s">
        <v>8</v>
      </c>
    </row>
    <row r="33" ht="41.4" customHeight="1" spans="1:13">
      <c r="A33" s="4" t="s">
        <v>94</v>
      </c>
      <c r="B33" s="4" t="s">
        <v>566</v>
      </c>
      <c r="C33" s="4" t="s">
        <v>0</v>
      </c>
      <c r="D33" s="6" t="s">
        <v>220</v>
      </c>
      <c r="E33" s="6" t="s">
        <v>0</v>
      </c>
      <c r="F33" s="4" t="s">
        <v>205</v>
      </c>
      <c r="G33" s="29">
        <f t="shared" ref="G33" si="8">$G$27</f>
        <v>563472.052008</v>
      </c>
      <c r="H33" s="30">
        <v>0.36</v>
      </c>
      <c r="I33" s="9">
        <f t="shared" ref="I33" si="9">ROUND(G33*H33/100,2)</f>
        <v>2028.5</v>
      </c>
      <c r="J33" s="9" t="s">
        <v>0</v>
      </c>
      <c r="K33" s="9" t="s">
        <v>0</v>
      </c>
      <c r="L33" s="9" t="s">
        <v>0</v>
      </c>
      <c r="M33" s="9" t="s">
        <v>8</v>
      </c>
    </row>
    <row r="34" spans="1:13">
      <c r="A34" s="4" t="s">
        <v>96</v>
      </c>
      <c r="B34" s="4" t="s">
        <v>567</v>
      </c>
      <c r="C34" s="4" t="s">
        <v>0</v>
      </c>
      <c r="D34" s="6" t="s">
        <v>222</v>
      </c>
      <c r="E34" s="6" t="s">
        <v>0</v>
      </c>
      <c r="F34" s="4" t="s">
        <v>8</v>
      </c>
      <c r="G34" s="4"/>
      <c r="H34" s="4" t="s">
        <v>8</v>
      </c>
      <c r="I34" s="9" t="s">
        <v>0</v>
      </c>
      <c r="J34" s="9" t="s">
        <v>0</v>
      </c>
      <c r="K34" s="9" t="s">
        <v>0</v>
      </c>
      <c r="L34" s="9" t="s">
        <v>0</v>
      </c>
      <c r="M34" s="9" t="s">
        <v>8</v>
      </c>
    </row>
    <row r="35" ht="26.4" customHeight="1" spans="1:13">
      <c r="A35" s="4" t="s">
        <v>98</v>
      </c>
      <c r="B35" s="4" t="s">
        <v>568</v>
      </c>
      <c r="C35" s="4" t="s">
        <v>0</v>
      </c>
      <c r="D35" s="6" t="s">
        <v>224</v>
      </c>
      <c r="E35" s="6" t="s">
        <v>0</v>
      </c>
      <c r="F35" s="4" t="s">
        <v>8</v>
      </c>
      <c r="G35" s="4"/>
      <c r="H35" s="4" t="s">
        <v>8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8</v>
      </c>
    </row>
    <row r="36" spans="1:13">
      <c r="A36" s="4" t="s">
        <v>100</v>
      </c>
      <c r="B36" s="4" t="s">
        <v>569</v>
      </c>
      <c r="C36" s="4" t="s">
        <v>0</v>
      </c>
      <c r="D36" s="6" t="s">
        <v>226</v>
      </c>
      <c r="E36" s="6" t="s">
        <v>0</v>
      </c>
      <c r="F36" s="4" t="s">
        <v>8</v>
      </c>
      <c r="G36" s="4"/>
      <c r="H36" s="4" t="s">
        <v>8</v>
      </c>
      <c r="I36" s="9" t="s">
        <v>0</v>
      </c>
      <c r="J36" s="9" t="s">
        <v>0</v>
      </c>
      <c r="K36" s="9" t="s">
        <v>0</v>
      </c>
      <c r="L36" s="9" t="s">
        <v>0</v>
      </c>
      <c r="M36" s="9" t="s">
        <v>8</v>
      </c>
    </row>
    <row r="37" ht="42.6" customHeight="1" spans="1:13">
      <c r="A37" s="4" t="s">
        <v>102</v>
      </c>
      <c r="B37" s="4" t="s">
        <v>570</v>
      </c>
      <c r="C37" s="4" t="s">
        <v>0</v>
      </c>
      <c r="D37" s="6" t="s">
        <v>228</v>
      </c>
      <c r="E37" s="6" t="s">
        <v>0</v>
      </c>
      <c r="F37" s="4" t="s">
        <v>229</v>
      </c>
      <c r="G37" s="29">
        <f t="shared" ref="G37" si="10">$G$27</f>
        <v>563472.052008</v>
      </c>
      <c r="H37" s="30">
        <v>0.09</v>
      </c>
      <c r="I37" s="9">
        <f t="shared" ref="I37" si="11">ROUND(G37*H37/100,2)</f>
        <v>507.12</v>
      </c>
      <c r="J37" s="35"/>
      <c r="K37" s="36"/>
      <c r="L37" s="9"/>
      <c r="M37" s="9"/>
    </row>
    <row r="38" spans="1:13">
      <c r="A38" s="31" t="s">
        <v>90</v>
      </c>
      <c r="B38" s="31"/>
      <c r="C38" s="31"/>
      <c r="D38" s="31"/>
      <c r="E38" s="31"/>
      <c r="F38" s="32"/>
      <c r="G38" s="32"/>
      <c r="H38" s="32"/>
      <c r="I38" s="37">
        <f>SUM(I27:I37)</f>
        <v>43950.81</v>
      </c>
      <c r="J38" s="38"/>
      <c r="K38" s="39"/>
      <c r="L38" s="32"/>
      <c r="M38" s="32"/>
    </row>
    <row r="39" ht="39" customHeight="1" spans="1:13">
      <c r="A39" s="17" t="s">
        <v>571</v>
      </c>
      <c r="B39" s="17" t="s">
        <v>0</v>
      </c>
      <c r="C39" s="17" t="s">
        <v>0</v>
      </c>
      <c r="D39" s="17" t="s">
        <v>0</v>
      </c>
      <c r="E39" s="17" t="s">
        <v>0</v>
      </c>
      <c r="F39" s="17" t="s">
        <v>0</v>
      </c>
      <c r="G39" s="17"/>
      <c r="H39" s="17" t="s">
        <v>0</v>
      </c>
      <c r="I39" s="17" t="s">
        <v>0</v>
      </c>
      <c r="J39" s="17" t="s">
        <v>0</v>
      </c>
      <c r="K39" s="17" t="s">
        <v>0</v>
      </c>
      <c r="L39" s="17" t="s">
        <v>0</v>
      </c>
      <c r="M39" s="17" t="s">
        <v>0</v>
      </c>
    </row>
    <row r="41" ht="20.4" customHeight="1" spans="1:13">
      <c r="A41" s="14" t="s">
        <v>191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3" t="s">
        <v>572</v>
      </c>
      <c r="M41" s="13"/>
    </row>
    <row r="42" spans="1:13">
      <c r="A42" s="28" t="s">
        <v>22</v>
      </c>
      <c r="B42" s="28" t="s">
        <v>0</v>
      </c>
      <c r="C42" s="17" t="s">
        <v>548</v>
      </c>
      <c r="D42" s="17" t="s">
        <v>0</v>
      </c>
      <c r="E42" s="17" t="s">
        <v>0</v>
      </c>
      <c r="F42" s="17" t="s">
        <v>0</v>
      </c>
      <c r="G42" s="17"/>
      <c r="H42" s="17" t="s">
        <v>0</v>
      </c>
      <c r="I42" s="17" t="s">
        <v>0</v>
      </c>
      <c r="J42" s="17" t="s">
        <v>0</v>
      </c>
      <c r="K42" s="17" t="s">
        <v>81</v>
      </c>
      <c r="L42" s="17" t="s">
        <v>0</v>
      </c>
      <c r="M42" s="33"/>
    </row>
    <row r="43" customHeight="1" spans="1:13">
      <c r="A43" s="28" t="s">
        <v>82</v>
      </c>
      <c r="B43" s="28" t="s">
        <v>0</v>
      </c>
      <c r="C43" s="17" t="s">
        <v>573</v>
      </c>
      <c r="D43" s="17" t="s">
        <v>0</v>
      </c>
      <c r="E43" s="17" t="s">
        <v>0</v>
      </c>
      <c r="F43" s="17" t="s">
        <v>0</v>
      </c>
      <c r="G43" s="17"/>
      <c r="H43" s="17" t="s">
        <v>0</v>
      </c>
      <c r="I43" s="17" t="s">
        <v>0</v>
      </c>
      <c r="J43" s="17" t="s">
        <v>0</v>
      </c>
      <c r="K43" s="17" t="str">
        <f>"工程数量："&amp;'[1]附表C-6营造林工程投资概算'!$D$14</f>
        <v>工程数量：59.45</v>
      </c>
      <c r="L43" s="17" t="s">
        <v>0</v>
      </c>
      <c r="M43" s="15"/>
    </row>
    <row r="44" spans="1:13">
      <c r="A44" s="28" t="s">
        <v>84</v>
      </c>
      <c r="B44" s="28" t="s">
        <v>0</v>
      </c>
      <c r="C44" s="17" t="s">
        <v>574</v>
      </c>
      <c r="D44" s="17" t="s">
        <v>0</v>
      </c>
      <c r="E44" s="17" t="s">
        <v>0</v>
      </c>
      <c r="F44" s="17" t="s">
        <v>0</v>
      </c>
      <c r="G44" s="17"/>
      <c r="H44" s="17" t="s">
        <v>0</v>
      </c>
      <c r="I44" s="17" t="s">
        <v>0</v>
      </c>
      <c r="J44" s="17" t="s">
        <v>0</v>
      </c>
      <c r="K44" s="34"/>
      <c r="L44" s="34"/>
      <c r="M44" s="15"/>
    </row>
    <row r="45" ht="31.2" customHeight="1" spans="1:13">
      <c r="A45" s="4" t="s">
        <v>193</v>
      </c>
      <c r="B45" s="4" t="s">
        <v>55</v>
      </c>
      <c r="C45" s="4" t="s">
        <v>0</v>
      </c>
      <c r="D45" s="4" t="s">
        <v>56</v>
      </c>
      <c r="E45" s="4" t="s">
        <v>0</v>
      </c>
      <c r="F45" s="4" t="s">
        <v>194</v>
      </c>
      <c r="G45" s="4" t="s">
        <v>195</v>
      </c>
      <c r="H45" s="4" t="s">
        <v>196</v>
      </c>
      <c r="I45" s="4" t="s">
        <v>197</v>
      </c>
      <c r="J45" s="4" t="s">
        <v>198</v>
      </c>
      <c r="K45" s="4" t="s">
        <v>0</v>
      </c>
      <c r="L45" s="4" t="s">
        <v>199</v>
      </c>
      <c r="M45" s="4" t="s">
        <v>35</v>
      </c>
    </row>
    <row r="46" spans="1:13">
      <c r="A46" s="4" t="s">
        <v>68</v>
      </c>
      <c r="B46" s="4" t="s">
        <v>575</v>
      </c>
      <c r="C46" s="4" t="s">
        <v>0</v>
      </c>
      <c r="D46" s="6" t="s">
        <v>201</v>
      </c>
      <c r="E46" s="6" t="s">
        <v>0</v>
      </c>
      <c r="F46" s="4" t="s">
        <v>8</v>
      </c>
      <c r="G46" s="4"/>
      <c r="H46" s="4" t="s">
        <v>8</v>
      </c>
      <c r="I46" s="9">
        <f>SUM(I47:I50)</f>
        <v>1336.17</v>
      </c>
      <c r="J46" s="9" t="s">
        <v>0</v>
      </c>
      <c r="K46" s="9" t="s">
        <v>0</v>
      </c>
      <c r="L46" s="9" t="s">
        <v>0</v>
      </c>
      <c r="M46" s="9" t="s">
        <v>8</v>
      </c>
    </row>
    <row r="47" ht="36" spans="1:13">
      <c r="A47" s="4" t="s">
        <v>202</v>
      </c>
      <c r="B47" s="4" t="s">
        <v>203</v>
      </c>
      <c r="C47" s="4" t="s">
        <v>0</v>
      </c>
      <c r="D47" s="6" t="s">
        <v>204</v>
      </c>
      <c r="E47" s="6" t="s">
        <v>0</v>
      </c>
      <c r="F47" s="4" t="s">
        <v>205</v>
      </c>
      <c r="G47" s="29">
        <f>'D3-3 分部分项工程量清单综合单价计算表(分页不带材料)~3'!F51*0.3</f>
        <v>18179.219535</v>
      </c>
      <c r="H47" s="4">
        <v>0.55</v>
      </c>
      <c r="I47" s="9">
        <f>ROUND(G47*H47/100,2)</f>
        <v>99.99</v>
      </c>
      <c r="J47" s="9" t="s">
        <v>0</v>
      </c>
      <c r="K47" s="9" t="s">
        <v>0</v>
      </c>
      <c r="L47" s="9" t="s">
        <v>0</v>
      </c>
      <c r="M47" s="9" t="s">
        <v>8</v>
      </c>
    </row>
    <row r="48" ht="36" spans="1:13">
      <c r="A48" s="4" t="s">
        <v>206</v>
      </c>
      <c r="B48" s="4" t="s">
        <v>207</v>
      </c>
      <c r="C48" s="4" t="s">
        <v>0</v>
      </c>
      <c r="D48" s="6" t="s">
        <v>208</v>
      </c>
      <c r="E48" s="6" t="s">
        <v>0</v>
      </c>
      <c r="F48" s="4" t="s">
        <v>205</v>
      </c>
      <c r="G48" s="29">
        <f>$G$47</f>
        <v>18179.219535</v>
      </c>
      <c r="H48" s="4">
        <v>1.35</v>
      </c>
      <c r="I48" s="9">
        <f t="shared" ref="I48:I50" si="12">ROUND(G48*H48/100,2)</f>
        <v>245.42</v>
      </c>
      <c r="J48" s="9" t="s">
        <v>0</v>
      </c>
      <c r="K48" s="9" t="s">
        <v>0</v>
      </c>
      <c r="L48" s="9" t="s">
        <v>0</v>
      </c>
      <c r="M48" s="9" t="s">
        <v>8</v>
      </c>
    </row>
    <row r="49" ht="36" spans="1:13">
      <c r="A49" s="4" t="s">
        <v>209</v>
      </c>
      <c r="B49" s="4" t="s">
        <v>210</v>
      </c>
      <c r="C49" s="4" t="s">
        <v>0</v>
      </c>
      <c r="D49" s="6" t="s">
        <v>211</v>
      </c>
      <c r="E49" s="6" t="s">
        <v>0</v>
      </c>
      <c r="F49" s="4" t="s">
        <v>205</v>
      </c>
      <c r="G49" s="29">
        <f t="shared" ref="G49:G50" si="13">$G$47</f>
        <v>18179.219535</v>
      </c>
      <c r="H49" s="4">
        <v>2.1</v>
      </c>
      <c r="I49" s="9">
        <f t="shared" si="12"/>
        <v>381.76</v>
      </c>
      <c r="J49" s="9" t="s">
        <v>0</v>
      </c>
      <c r="K49" s="9" t="s">
        <v>0</v>
      </c>
      <c r="L49" s="9" t="s">
        <v>0</v>
      </c>
      <c r="M49" s="9" t="s">
        <v>8</v>
      </c>
    </row>
    <row r="50" ht="36" spans="1:13">
      <c r="A50" s="4" t="s">
        <v>212</v>
      </c>
      <c r="B50" s="4" t="s">
        <v>213</v>
      </c>
      <c r="C50" s="4" t="s">
        <v>0</v>
      </c>
      <c r="D50" s="6" t="s">
        <v>214</v>
      </c>
      <c r="E50" s="6" t="s">
        <v>0</v>
      </c>
      <c r="F50" s="4" t="s">
        <v>205</v>
      </c>
      <c r="G50" s="29">
        <f t="shared" si="13"/>
        <v>18179.219535</v>
      </c>
      <c r="H50" s="4">
        <v>3.35</v>
      </c>
      <c r="I50" s="9">
        <f t="shared" si="12"/>
        <v>609</v>
      </c>
      <c r="J50" s="9" t="s">
        <v>0</v>
      </c>
      <c r="K50" s="9" t="s">
        <v>0</v>
      </c>
      <c r="L50" s="9" t="s">
        <v>0</v>
      </c>
      <c r="M50" s="9" t="s">
        <v>8</v>
      </c>
    </row>
    <row r="51" spans="1:13">
      <c r="A51" s="4" t="s">
        <v>71</v>
      </c>
      <c r="B51" s="4" t="s">
        <v>576</v>
      </c>
      <c r="C51" s="4" t="s">
        <v>0</v>
      </c>
      <c r="D51" s="6" t="s">
        <v>216</v>
      </c>
      <c r="E51" s="6" t="s">
        <v>0</v>
      </c>
      <c r="F51" s="4" t="s">
        <v>8</v>
      </c>
      <c r="G51" s="4"/>
      <c r="H51" s="4" t="s">
        <v>8</v>
      </c>
      <c r="I51" s="9"/>
      <c r="J51" s="9" t="s">
        <v>0</v>
      </c>
      <c r="K51" s="9" t="s">
        <v>0</v>
      </c>
      <c r="L51" s="9" t="s">
        <v>0</v>
      </c>
      <c r="M51" s="9" t="s">
        <v>8</v>
      </c>
    </row>
    <row r="52" spans="1:13">
      <c r="A52" s="4" t="s">
        <v>73</v>
      </c>
      <c r="B52" s="4" t="s">
        <v>577</v>
      </c>
      <c r="C52" s="4" t="s">
        <v>0</v>
      </c>
      <c r="D52" s="6" t="s">
        <v>218</v>
      </c>
      <c r="E52" s="6" t="s">
        <v>0</v>
      </c>
      <c r="F52" s="4" t="s">
        <v>8</v>
      </c>
      <c r="G52" s="4"/>
      <c r="H52" s="4" t="s">
        <v>8</v>
      </c>
      <c r="I52" s="9"/>
      <c r="J52" s="9" t="s">
        <v>0</v>
      </c>
      <c r="K52" s="9" t="s">
        <v>0</v>
      </c>
      <c r="L52" s="9" t="s">
        <v>0</v>
      </c>
      <c r="M52" s="9" t="s">
        <v>8</v>
      </c>
    </row>
    <row r="53" ht="36" spans="1:13">
      <c r="A53" s="4" t="s">
        <v>94</v>
      </c>
      <c r="B53" s="4" t="s">
        <v>578</v>
      </c>
      <c r="C53" s="4" t="s">
        <v>0</v>
      </c>
      <c r="D53" s="6" t="s">
        <v>220</v>
      </c>
      <c r="E53" s="6" t="s">
        <v>0</v>
      </c>
      <c r="F53" s="4" t="s">
        <v>205</v>
      </c>
      <c r="G53" s="29">
        <f t="shared" ref="G53" si="14">$G$47</f>
        <v>18179.219535</v>
      </c>
      <c r="H53" s="30">
        <v>0.36</v>
      </c>
      <c r="I53" s="9">
        <f t="shared" ref="I53" si="15">ROUND(G53*H53/100,2)</f>
        <v>65.45</v>
      </c>
      <c r="J53" s="9" t="s">
        <v>0</v>
      </c>
      <c r="K53" s="9" t="s">
        <v>0</v>
      </c>
      <c r="L53" s="9" t="s">
        <v>0</v>
      </c>
      <c r="M53" s="9" t="s">
        <v>8</v>
      </c>
    </row>
    <row r="54" spans="1:13">
      <c r="A54" s="4" t="s">
        <v>96</v>
      </c>
      <c r="B54" s="4" t="s">
        <v>579</v>
      </c>
      <c r="C54" s="4" t="s">
        <v>0</v>
      </c>
      <c r="D54" s="6" t="s">
        <v>222</v>
      </c>
      <c r="E54" s="6" t="s">
        <v>0</v>
      </c>
      <c r="F54" s="4" t="s">
        <v>8</v>
      </c>
      <c r="G54" s="4"/>
      <c r="H54" s="4" t="s">
        <v>8</v>
      </c>
      <c r="I54" s="9" t="s">
        <v>0</v>
      </c>
      <c r="J54" s="9" t="s">
        <v>0</v>
      </c>
      <c r="K54" s="9" t="s">
        <v>0</v>
      </c>
      <c r="L54" s="9" t="s">
        <v>0</v>
      </c>
      <c r="M54" s="9" t="s">
        <v>8</v>
      </c>
    </row>
    <row r="55" ht="22.8" customHeight="1" spans="1:13">
      <c r="A55" s="4" t="s">
        <v>98</v>
      </c>
      <c r="B55" s="4" t="s">
        <v>580</v>
      </c>
      <c r="C55" s="4" t="s">
        <v>0</v>
      </c>
      <c r="D55" s="6" t="s">
        <v>224</v>
      </c>
      <c r="E55" s="6" t="s">
        <v>0</v>
      </c>
      <c r="F55" s="4" t="s">
        <v>8</v>
      </c>
      <c r="G55" s="4"/>
      <c r="H55" s="4" t="s">
        <v>8</v>
      </c>
      <c r="I55" s="9" t="s">
        <v>0</v>
      </c>
      <c r="J55" s="9" t="s">
        <v>0</v>
      </c>
      <c r="K55" s="9" t="s">
        <v>0</v>
      </c>
      <c r="L55" s="9" t="s">
        <v>0</v>
      </c>
      <c r="M55" s="9" t="s">
        <v>8</v>
      </c>
    </row>
    <row r="56" spans="1:13">
      <c r="A56" s="4" t="s">
        <v>100</v>
      </c>
      <c r="B56" s="4" t="s">
        <v>581</v>
      </c>
      <c r="C56" s="4" t="s">
        <v>0</v>
      </c>
      <c r="D56" s="6" t="s">
        <v>226</v>
      </c>
      <c r="E56" s="6" t="s">
        <v>0</v>
      </c>
      <c r="F56" s="4" t="s">
        <v>8</v>
      </c>
      <c r="G56" s="4"/>
      <c r="H56" s="4" t="s">
        <v>8</v>
      </c>
      <c r="I56" s="9" t="s">
        <v>0</v>
      </c>
      <c r="J56" s="9" t="s">
        <v>0</v>
      </c>
      <c r="K56" s="9" t="s">
        <v>0</v>
      </c>
      <c r="L56" s="9" t="s">
        <v>0</v>
      </c>
      <c r="M56" s="9" t="s">
        <v>8</v>
      </c>
    </row>
    <row r="57" ht="44.4" customHeight="1" spans="1:13">
      <c r="A57" s="4" t="s">
        <v>102</v>
      </c>
      <c r="B57" s="4" t="s">
        <v>582</v>
      </c>
      <c r="C57" s="4" t="s">
        <v>0</v>
      </c>
      <c r="D57" s="6" t="s">
        <v>228</v>
      </c>
      <c r="E57" s="6" t="s">
        <v>0</v>
      </c>
      <c r="F57" s="4" t="s">
        <v>229</v>
      </c>
      <c r="G57" s="29">
        <f t="shared" ref="G57" si="16">$G$47</f>
        <v>18179.219535</v>
      </c>
      <c r="H57" s="30">
        <v>0.09</v>
      </c>
      <c r="I57" s="9">
        <f t="shared" ref="I57" si="17">ROUND(G57*H57/100,2)</f>
        <v>16.36</v>
      </c>
      <c r="J57" s="35"/>
      <c r="K57" s="36"/>
      <c r="L57" s="9"/>
      <c r="M57" s="9"/>
    </row>
    <row r="58" ht="23.4" customHeight="1" spans="1:13">
      <c r="A58" s="31" t="s">
        <v>90</v>
      </c>
      <c r="B58" s="31"/>
      <c r="C58" s="31"/>
      <c r="D58" s="31"/>
      <c r="E58" s="31"/>
      <c r="F58" s="32"/>
      <c r="G58" s="32"/>
      <c r="H58" s="32"/>
      <c r="I58" s="37">
        <f>SUM(I47:I57)</f>
        <v>1417.98</v>
      </c>
      <c r="J58" s="38"/>
      <c r="K58" s="39"/>
      <c r="L58" s="32"/>
      <c r="M58" s="32"/>
    </row>
    <row r="59" ht="47.4" customHeight="1" spans="1:13">
      <c r="A59" s="17" t="s">
        <v>583</v>
      </c>
      <c r="B59" s="17" t="s">
        <v>0</v>
      </c>
      <c r="C59" s="17" t="s">
        <v>0</v>
      </c>
      <c r="D59" s="17" t="s">
        <v>0</v>
      </c>
      <c r="E59" s="17" t="s">
        <v>0</v>
      </c>
      <c r="F59" s="17" t="s">
        <v>0</v>
      </c>
      <c r="G59" s="17"/>
      <c r="H59" s="17" t="s">
        <v>0</v>
      </c>
      <c r="I59" s="17" t="s">
        <v>0</v>
      </c>
      <c r="J59" s="17" t="s">
        <v>0</v>
      </c>
      <c r="K59" s="17" t="s">
        <v>0</v>
      </c>
      <c r="L59" s="17" t="s">
        <v>0</v>
      </c>
      <c r="M59" s="17" t="s">
        <v>0</v>
      </c>
    </row>
    <row r="61" ht="20.4" customHeight="1" spans="1:13">
      <c r="A61" s="14" t="s">
        <v>191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3" t="s">
        <v>584</v>
      </c>
      <c r="M61" s="13"/>
    </row>
    <row r="62" spans="1:13">
      <c r="A62" s="28" t="s">
        <v>22</v>
      </c>
      <c r="B62" s="28" t="s">
        <v>0</v>
      </c>
      <c r="C62" s="17" t="s">
        <v>548</v>
      </c>
      <c r="D62" s="17" t="s">
        <v>0</v>
      </c>
      <c r="E62" s="17" t="s">
        <v>0</v>
      </c>
      <c r="F62" s="17" t="s">
        <v>0</v>
      </c>
      <c r="G62" s="17"/>
      <c r="H62" s="17" t="s">
        <v>0</v>
      </c>
      <c r="I62" s="17" t="s">
        <v>0</v>
      </c>
      <c r="J62" s="17" t="s">
        <v>0</v>
      </c>
      <c r="K62" s="17" t="s">
        <v>81</v>
      </c>
      <c r="L62" s="17" t="s">
        <v>0</v>
      </c>
      <c r="M62" s="33"/>
    </row>
    <row r="63" customHeight="1" spans="1:13">
      <c r="A63" s="28" t="s">
        <v>82</v>
      </c>
      <c r="B63" s="28" t="s">
        <v>0</v>
      </c>
      <c r="C63" s="17" t="s">
        <v>585</v>
      </c>
      <c r="D63" s="17" t="s">
        <v>0</v>
      </c>
      <c r="E63" s="17" t="s">
        <v>0</v>
      </c>
      <c r="F63" s="17" t="s">
        <v>0</v>
      </c>
      <c r="G63" s="17"/>
      <c r="H63" s="17" t="s">
        <v>0</v>
      </c>
      <c r="I63" s="17" t="s">
        <v>0</v>
      </c>
      <c r="J63" s="17" t="s">
        <v>0</v>
      </c>
      <c r="K63" s="17" t="str">
        <f>"工程数量："&amp;'[1]附表C-6营造林工程投资概算'!$D$15</f>
        <v>工程数量：111.11</v>
      </c>
      <c r="L63" s="17" t="s">
        <v>0</v>
      </c>
      <c r="M63" s="15"/>
    </row>
    <row r="64" spans="1:13">
      <c r="A64" s="28" t="s">
        <v>84</v>
      </c>
      <c r="B64" s="28" t="s">
        <v>0</v>
      </c>
      <c r="C64" s="17" t="s">
        <v>586</v>
      </c>
      <c r="D64" s="17" t="s">
        <v>0</v>
      </c>
      <c r="E64" s="17" t="s">
        <v>0</v>
      </c>
      <c r="F64" s="17" t="s">
        <v>0</v>
      </c>
      <c r="G64" s="17"/>
      <c r="H64" s="17" t="s">
        <v>0</v>
      </c>
      <c r="I64" s="17" t="s">
        <v>0</v>
      </c>
      <c r="J64" s="17" t="s">
        <v>0</v>
      </c>
      <c r="K64" s="34"/>
      <c r="L64" s="34"/>
      <c r="M64" s="15"/>
    </row>
    <row r="65" ht="33.6" customHeight="1" spans="1:13">
      <c r="A65" s="4" t="s">
        <v>193</v>
      </c>
      <c r="B65" s="4" t="s">
        <v>55</v>
      </c>
      <c r="C65" s="4" t="s">
        <v>0</v>
      </c>
      <c r="D65" s="4" t="s">
        <v>56</v>
      </c>
      <c r="E65" s="4" t="s">
        <v>0</v>
      </c>
      <c r="F65" s="4" t="s">
        <v>194</v>
      </c>
      <c r="G65" s="4" t="s">
        <v>195</v>
      </c>
      <c r="H65" s="4" t="s">
        <v>196</v>
      </c>
      <c r="I65" s="4" t="s">
        <v>197</v>
      </c>
      <c r="J65" s="4" t="s">
        <v>198</v>
      </c>
      <c r="K65" s="4" t="s">
        <v>0</v>
      </c>
      <c r="L65" s="4" t="s">
        <v>199</v>
      </c>
      <c r="M65" s="4" t="s">
        <v>35</v>
      </c>
    </row>
    <row r="66" spans="1:13">
      <c r="A66" s="4" t="s">
        <v>68</v>
      </c>
      <c r="B66" s="4" t="s">
        <v>587</v>
      </c>
      <c r="C66" s="4" t="s">
        <v>0</v>
      </c>
      <c r="D66" s="6" t="s">
        <v>201</v>
      </c>
      <c r="E66" s="6" t="s">
        <v>0</v>
      </c>
      <c r="F66" s="4" t="s">
        <v>8</v>
      </c>
      <c r="G66" s="4"/>
      <c r="H66" s="4" t="s">
        <v>8</v>
      </c>
      <c r="I66" s="9">
        <f>SUM(I67:I70)</f>
        <v>2241.69</v>
      </c>
      <c r="J66" s="9" t="s">
        <v>0</v>
      </c>
      <c r="K66" s="9" t="s">
        <v>0</v>
      </c>
      <c r="L66" s="9" t="s">
        <v>0</v>
      </c>
      <c r="M66" s="9" t="s">
        <v>8</v>
      </c>
    </row>
    <row r="67" ht="43.2" customHeight="1" spans="1:13">
      <c r="A67" s="4" t="s">
        <v>202</v>
      </c>
      <c r="B67" s="4" t="s">
        <v>203</v>
      </c>
      <c r="C67" s="4" t="s">
        <v>0</v>
      </c>
      <c r="D67" s="6" t="s">
        <v>204</v>
      </c>
      <c r="E67" s="6" t="s">
        <v>0</v>
      </c>
      <c r="F67" s="4" t="s">
        <v>205</v>
      </c>
      <c r="G67" s="29">
        <f>'D3-3 分部分项工程量清单综合单价计算表(分页不带材料)~3'!F69*0.3</f>
        <v>30499.123581</v>
      </c>
      <c r="H67" s="4">
        <v>0.55</v>
      </c>
      <c r="I67" s="9">
        <f>ROUND(G67*H67/100,2)</f>
        <v>167.75</v>
      </c>
      <c r="J67" s="9" t="s">
        <v>0</v>
      </c>
      <c r="K67" s="9" t="s">
        <v>0</v>
      </c>
      <c r="L67" s="9" t="s">
        <v>0</v>
      </c>
      <c r="M67" s="9" t="s">
        <v>8</v>
      </c>
    </row>
    <row r="68" ht="43.2" customHeight="1" spans="1:13">
      <c r="A68" s="4" t="s">
        <v>206</v>
      </c>
      <c r="B68" s="4" t="s">
        <v>207</v>
      </c>
      <c r="C68" s="4" t="s">
        <v>0</v>
      </c>
      <c r="D68" s="6" t="s">
        <v>208</v>
      </c>
      <c r="E68" s="6" t="s">
        <v>0</v>
      </c>
      <c r="F68" s="4" t="s">
        <v>205</v>
      </c>
      <c r="G68" s="29">
        <f>$G$67</f>
        <v>30499.123581</v>
      </c>
      <c r="H68" s="4">
        <v>1.35</v>
      </c>
      <c r="I68" s="9">
        <f t="shared" ref="I68:I70" si="18">ROUND(G68*H68/100,2)</f>
        <v>411.74</v>
      </c>
      <c r="J68" s="9" t="s">
        <v>0</v>
      </c>
      <c r="K68" s="9" t="s">
        <v>0</v>
      </c>
      <c r="L68" s="9" t="s">
        <v>0</v>
      </c>
      <c r="M68" s="9" t="s">
        <v>8</v>
      </c>
    </row>
    <row r="69" ht="43.2" customHeight="1" spans="1:13">
      <c r="A69" s="4" t="s">
        <v>209</v>
      </c>
      <c r="B69" s="4" t="s">
        <v>210</v>
      </c>
      <c r="C69" s="4" t="s">
        <v>0</v>
      </c>
      <c r="D69" s="6" t="s">
        <v>211</v>
      </c>
      <c r="E69" s="6" t="s">
        <v>0</v>
      </c>
      <c r="F69" s="4" t="s">
        <v>205</v>
      </c>
      <c r="G69" s="29">
        <f t="shared" ref="G69:G70" si="19">$G$67</f>
        <v>30499.123581</v>
      </c>
      <c r="H69" s="4">
        <v>2.1</v>
      </c>
      <c r="I69" s="9">
        <f t="shared" si="18"/>
        <v>640.48</v>
      </c>
      <c r="J69" s="9" t="s">
        <v>0</v>
      </c>
      <c r="K69" s="9" t="s">
        <v>0</v>
      </c>
      <c r="L69" s="9" t="s">
        <v>0</v>
      </c>
      <c r="M69" s="9" t="s">
        <v>8</v>
      </c>
    </row>
    <row r="70" ht="43.2" customHeight="1" spans="1:13">
      <c r="A70" s="4" t="s">
        <v>212</v>
      </c>
      <c r="B70" s="4" t="s">
        <v>213</v>
      </c>
      <c r="C70" s="4" t="s">
        <v>0</v>
      </c>
      <c r="D70" s="6" t="s">
        <v>214</v>
      </c>
      <c r="E70" s="6" t="s">
        <v>0</v>
      </c>
      <c r="F70" s="4" t="s">
        <v>205</v>
      </c>
      <c r="G70" s="29">
        <f t="shared" si="19"/>
        <v>30499.123581</v>
      </c>
      <c r="H70" s="4">
        <v>3.35</v>
      </c>
      <c r="I70" s="9">
        <f t="shared" si="18"/>
        <v>1021.72</v>
      </c>
      <c r="J70" s="9" t="s">
        <v>0</v>
      </c>
      <c r="K70" s="9" t="s">
        <v>0</v>
      </c>
      <c r="L70" s="9" t="s">
        <v>0</v>
      </c>
      <c r="M70" s="9" t="s">
        <v>8</v>
      </c>
    </row>
    <row r="71" spans="1:13">
      <c r="A71" s="4" t="s">
        <v>71</v>
      </c>
      <c r="B71" s="4" t="s">
        <v>588</v>
      </c>
      <c r="C71" s="4" t="s">
        <v>0</v>
      </c>
      <c r="D71" s="6" t="s">
        <v>216</v>
      </c>
      <c r="E71" s="6" t="s">
        <v>0</v>
      </c>
      <c r="F71" s="4" t="s">
        <v>8</v>
      </c>
      <c r="G71" s="4"/>
      <c r="H71" s="4" t="s">
        <v>8</v>
      </c>
      <c r="I71" s="9"/>
      <c r="J71" s="9" t="s">
        <v>0</v>
      </c>
      <c r="K71" s="9" t="s">
        <v>0</v>
      </c>
      <c r="L71" s="9" t="s">
        <v>0</v>
      </c>
      <c r="M71" s="9" t="s">
        <v>8</v>
      </c>
    </row>
    <row r="72" spans="1:13">
      <c r="A72" s="4" t="s">
        <v>73</v>
      </c>
      <c r="B72" s="4" t="s">
        <v>589</v>
      </c>
      <c r="C72" s="4" t="s">
        <v>0</v>
      </c>
      <c r="D72" s="6" t="s">
        <v>218</v>
      </c>
      <c r="E72" s="6" t="s">
        <v>0</v>
      </c>
      <c r="F72" s="4" t="s">
        <v>8</v>
      </c>
      <c r="G72" s="4"/>
      <c r="H72" s="4" t="s">
        <v>8</v>
      </c>
      <c r="I72" s="9"/>
      <c r="J72" s="9" t="s">
        <v>0</v>
      </c>
      <c r="K72" s="9" t="s">
        <v>0</v>
      </c>
      <c r="L72" s="9" t="s">
        <v>0</v>
      </c>
      <c r="M72" s="9" t="s">
        <v>8</v>
      </c>
    </row>
    <row r="73" ht="36" spans="1:13">
      <c r="A73" s="4" t="s">
        <v>94</v>
      </c>
      <c r="B73" s="4" t="s">
        <v>590</v>
      </c>
      <c r="C73" s="4" t="s">
        <v>0</v>
      </c>
      <c r="D73" s="6" t="s">
        <v>220</v>
      </c>
      <c r="E73" s="6" t="s">
        <v>0</v>
      </c>
      <c r="F73" s="4" t="s">
        <v>205</v>
      </c>
      <c r="G73" s="29">
        <f t="shared" ref="G73" si="20">$G$67</f>
        <v>30499.123581</v>
      </c>
      <c r="H73" s="30">
        <v>0.36</v>
      </c>
      <c r="I73" s="9">
        <f t="shared" ref="I73" si="21">ROUND(G73*H73/100,2)</f>
        <v>109.8</v>
      </c>
      <c r="J73" s="9" t="s">
        <v>0</v>
      </c>
      <c r="K73" s="9" t="s">
        <v>0</v>
      </c>
      <c r="L73" s="9" t="s">
        <v>0</v>
      </c>
      <c r="M73" s="9" t="s">
        <v>8</v>
      </c>
    </row>
    <row r="74" spans="1:13">
      <c r="A74" s="4" t="s">
        <v>96</v>
      </c>
      <c r="B74" s="4" t="s">
        <v>591</v>
      </c>
      <c r="C74" s="4" t="s">
        <v>0</v>
      </c>
      <c r="D74" s="6" t="s">
        <v>222</v>
      </c>
      <c r="E74" s="6" t="s">
        <v>0</v>
      </c>
      <c r="F74" s="4" t="s">
        <v>8</v>
      </c>
      <c r="G74" s="4"/>
      <c r="H74" s="4" t="s">
        <v>8</v>
      </c>
      <c r="I74" s="9" t="s">
        <v>0</v>
      </c>
      <c r="J74" s="9" t="s">
        <v>0</v>
      </c>
      <c r="K74" s="9" t="s">
        <v>0</v>
      </c>
      <c r="L74" s="9" t="s">
        <v>0</v>
      </c>
      <c r="M74" s="9" t="s">
        <v>8</v>
      </c>
    </row>
    <row r="75" ht="26.4" customHeight="1" spans="1:13">
      <c r="A75" s="4" t="s">
        <v>98</v>
      </c>
      <c r="B75" s="4" t="s">
        <v>592</v>
      </c>
      <c r="C75" s="4" t="s">
        <v>0</v>
      </c>
      <c r="D75" s="6" t="s">
        <v>224</v>
      </c>
      <c r="E75" s="6" t="s">
        <v>0</v>
      </c>
      <c r="F75" s="4" t="s">
        <v>8</v>
      </c>
      <c r="G75" s="4"/>
      <c r="H75" s="4" t="s">
        <v>8</v>
      </c>
      <c r="I75" s="9" t="s">
        <v>0</v>
      </c>
      <c r="J75" s="9" t="s">
        <v>0</v>
      </c>
      <c r="K75" s="9" t="s">
        <v>0</v>
      </c>
      <c r="L75" s="9" t="s">
        <v>0</v>
      </c>
      <c r="M75" s="9" t="s">
        <v>8</v>
      </c>
    </row>
    <row r="76" spans="1:13">
      <c r="A76" s="4" t="s">
        <v>100</v>
      </c>
      <c r="B76" s="4" t="s">
        <v>593</v>
      </c>
      <c r="C76" s="4" t="s">
        <v>0</v>
      </c>
      <c r="D76" s="6" t="s">
        <v>226</v>
      </c>
      <c r="E76" s="6" t="s">
        <v>0</v>
      </c>
      <c r="F76" s="4" t="s">
        <v>8</v>
      </c>
      <c r="G76" s="4"/>
      <c r="H76" s="4" t="s">
        <v>8</v>
      </c>
      <c r="I76" s="9" t="s">
        <v>0</v>
      </c>
      <c r="J76" s="9" t="s">
        <v>0</v>
      </c>
      <c r="K76" s="9" t="s">
        <v>0</v>
      </c>
      <c r="L76" s="9" t="s">
        <v>0</v>
      </c>
      <c r="M76" s="9" t="s">
        <v>8</v>
      </c>
    </row>
    <row r="77" ht="43.8" customHeight="1" spans="1:13">
      <c r="A77" s="4" t="s">
        <v>102</v>
      </c>
      <c r="B77" s="4" t="s">
        <v>594</v>
      </c>
      <c r="C77" s="4" t="s">
        <v>0</v>
      </c>
      <c r="D77" s="6" t="s">
        <v>228</v>
      </c>
      <c r="E77" s="6" t="s">
        <v>0</v>
      </c>
      <c r="F77" s="4" t="s">
        <v>229</v>
      </c>
      <c r="G77" s="29">
        <f t="shared" ref="G77" si="22">$G$67</f>
        <v>30499.123581</v>
      </c>
      <c r="H77" s="30">
        <v>0.09</v>
      </c>
      <c r="I77" s="9">
        <f t="shared" ref="I77" si="23">ROUND(G77*H77/100,2)</f>
        <v>27.45</v>
      </c>
      <c r="J77" s="35"/>
      <c r="K77" s="36"/>
      <c r="L77" s="9"/>
      <c r="M77" s="9"/>
    </row>
    <row r="78" spans="1:13">
      <c r="A78" s="31" t="s">
        <v>90</v>
      </c>
      <c r="B78" s="31"/>
      <c r="C78" s="31"/>
      <c r="D78" s="31"/>
      <c r="E78" s="31"/>
      <c r="F78" s="32"/>
      <c r="G78" s="32"/>
      <c r="H78" s="32"/>
      <c r="I78" s="37">
        <f>SUM(I67:I77)</f>
        <v>2378.94</v>
      </c>
      <c r="J78" s="38"/>
      <c r="K78" s="39"/>
      <c r="L78" s="32"/>
      <c r="M78" s="32"/>
    </row>
    <row r="79" ht="46.2" customHeight="1" spans="1:13">
      <c r="A79" s="17" t="s">
        <v>230</v>
      </c>
      <c r="B79" s="17" t="s">
        <v>0</v>
      </c>
      <c r="C79" s="17" t="s">
        <v>0</v>
      </c>
      <c r="D79" s="17" t="s">
        <v>0</v>
      </c>
      <c r="E79" s="17" t="s">
        <v>0</v>
      </c>
      <c r="F79" s="17" t="s">
        <v>0</v>
      </c>
      <c r="G79" s="17"/>
      <c r="H79" s="17" t="s">
        <v>0</v>
      </c>
      <c r="I79" s="17" t="s">
        <v>0</v>
      </c>
      <c r="J79" s="17" t="s">
        <v>0</v>
      </c>
      <c r="K79" s="17" t="s">
        <v>0</v>
      </c>
      <c r="L79" s="17" t="s">
        <v>0</v>
      </c>
      <c r="M79" s="17" t="s">
        <v>0</v>
      </c>
    </row>
    <row r="81" ht="20.4" customHeight="1" spans="1:13">
      <c r="A81" s="14" t="s">
        <v>191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3" t="s">
        <v>595</v>
      </c>
      <c r="M81" s="13"/>
    </row>
    <row r="82" spans="1:13">
      <c r="A82" s="28" t="s">
        <v>22</v>
      </c>
      <c r="B82" s="28" t="s">
        <v>0</v>
      </c>
      <c r="C82" s="17" t="s">
        <v>548</v>
      </c>
      <c r="D82" s="17" t="s">
        <v>0</v>
      </c>
      <c r="E82" s="17" t="s">
        <v>0</v>
      </c>
      <c r="F82" s="17" t="s">
        <v>0</v>
      </c>
      <c r="G82" s="17"/>
      <c r="H82" s="17" t="s">
        <v>0</v>
      </c>
      <c r="I82" s="17" t="s">
        <v>0</v>
      </c>
      <c r="J82" s="17" t="s">
        <v>0</v>
      </c>
      <c r="K82" s="17" t="s">
        <v>81</v>
      </c>
      <c r="L82" s="17" t="s">
        <v>0</v>
      </c>
      <c r="M82" s="33"/>
    </row>
    <row r="83" customHeight="1" spans="1:13">
      <c r="A83" s="28" t="s">
        <v>82</v>
      </c>
      <c r="B83" s="28" t="s">
        <v>0</v>
      </c>
      <c r="C83" s="17" t="s">
        <v>596</v>
      </c>
      <c r="D83" s="17" t="s">
        <v>0</v>
      </c>
      <c r="E83" s="17" t="s">
        <v>0</v>
      </c>
      <c r="F83" s="17" t="s">
        <v>0</v>
      </c>
      <c r="G83" s="17"/>
      <c r="H83" s="17" t="s">
        <v>0</v>
      </c>
      <c r="I83" s="17" t="s">
        <v>0</v>
      </c>
      <c r="J83" s="17" t="s">
        <v>0</v>
      </c>
      <c r="K83" s="17" t="str">
        <f>"工程数量："&amp;'[1]附表C-6营造林工程投资概算'!$D$16</f>
        <v>工程数量：224.18</v>
      </c>
      <c r="L83" s="17" t="s">
        <v>0</v>
      </c>
      <c r="M83" s="15"/>
    </row>
    <row r="84" spans="1:13">
      <c r="A84" s="28" t="s">
        <v>84</v>
      </c>
      <c r="B84" s="28" t="s">
        <v>0</v>
      </c>
      <c r="C84" s="17" t="s">
        <v>597</v>
      </c>
      <c r="D84" s="17" t="s">
        <v>0</v>
      </c>
      <c r="E84" s="17" t="s">
        <v>0</v>
      </c>
      <c r="F84" s="17" t="s">
        <v>0</v>
      </c>
      <c r="G84" s="17"/>
      <c r="H84" s="17" t="s">
        <v>0</v>
      </c>
      <c r="I84" s="17" t="s">
        <v>0</v>
      </c>
      <c r="J84" s="17" t="s">
        <v>0</v>
      </c>
      <c r="K84" s="34"/>
      <c r="L84" s="34"/>
      <c r="M84" s="15"/>
    </row>
    <row r="85" ht="30" customHeight="1" spans="1:13">
      <c r="A85" s="4" t="s">
        <v>193</v>
      </c>
      <c r="B85" s="4" t="s">
        <v>55</v>
      </c>
      <c r="C85" s="4" t="s">
        <v>0</v>
      </c>
      <c r="D85" s="4" t="s">
        <v>56</v>
      </c>
      <c r="E85" s="4" t="s">
        <v>0</v>
      </c>
      <c r="F85" s="4" t="s">
        <v>194</v>
      </c>
      <c r="G85" s="4" t="s">
        <v>195</v>
      </c>
      <c r="H85" s="4" t="s">
        <v>196</v>
      </c>
      <c r="I85" s="4" t="s">
        <v>197</v>
      </c>
      <c r="J85" s="4" t="s">
        <v>198</v>
      </c>
      <c r="K85" s="4" t="s">
        <v>0</v>
      </c>
      <c r="L85" s="4" t="s">
        <v>199</v>
      </c>
      <c r="M85" s="4" t="s">
        <v>35</v>
      </c>
    </row>
    <row r="86" spans="1:13">
      <c r="A86" s="4" t="s">
        <v>68</v>
      </c>
      <c r="B86" s="4" t="s">
        <v>598</v>
      </c>
      <c r="C86" s="4" t="s">
        <v>0</v>
      </c>
      <c r="D86" s="6" t="s">
        <v>201</v>
      </c>
      <c r="E86" s="6" t="s">
        <v>0</v>
      </c>
      <c r="F86" s="4" t="s">
        <v>8</v>
      </c>
      <c r="G86" s="4"/>
      <c r="H86" s="4" t="s">
        <v>8</v>
      </c>
      <c r="I86" s="9">
        <f>SUM(I87:I90)</f>
        <v>5038.57</v>
      </c>
      <c r="J86" s="9" t="s">
        <v>0</v>
      </c>
      <c r="K86" s="9" t="s">
        <v>0</v>
      </c>
      <c r="L86" s="9" t="s">
        <v>0</v>
      </c>
      <c r="M86" s="9" t="s">
        <v>8</v>
      </c>
    </row>
    <row r="87" ht="36" spans="1:13">
      <c r="A87" s="4" t="s">
        <v>202</v>
      </c>
      <c r="B87" s="4" t="s">
        <v>203</v>
      </c>
      <c r="C87" s="4" t="s">
        <v>0</v>
      </c>
      <c r="D87" s="6" t="s">
        <v>204</v>
      </c>
      <c r="E87" s="6" t="s">
        <v>0</v>
      </c>
      <c r="F87" s="4" t="s">
        <v>205</v>
      </c>
      <c r="G87" s="29">
        <f>'D3-3 分部分项工程量清单综合单价计算表(分页不带材料)~3'!F87*0.3</f>
        <v>68552.021127</v>
      </c>
      <c r="H87" s="4">
        <v>0.55</v>
      </c>
      <c r="I87" s="9">
        <f>ROUND(G87*H87/100,2)</f>
        <v>377.04</v>
      </c>
      <c r="J87" s="9" t="s">
        <v>0</v>
      </c>
      <c r="K87" s="9" t="s">
        <v>0</v>
      </c>
      <c r="L87" s="9" t="s">
        <v>0</v>
      </c>
      <c r="M87" s="9" t="s">
        <v>8</v>
      </c>
    </row>
    <row r="88" ht="36" spans="1:13">
      <c r="A88" s="4" t="s">
        <v>206</v>
      </c>
      <c r="B88" s="4" t="s">
        <v>207</v>
      </c>
      <c r="C88" s="4" t="s">
        <v>0</v>
      </c>
      <c r="D88" s="6" t="s">
        <v>208</v>
      </c>
      <c r="E88" s="6" t="s">
        <v>0</v>
      </c>
      <c r="F88" s="4" t="s">
        <v>205</v>
      </c>
      <c r="G88" s="29">
        <f>$G$87</f>
        <v>68552.021127</v>
      </c>
      <c r="H88" s="4">
        <v>1.35</v>
      </c>
      <c r="I88" s="9">
        <f t="shared" ref="I88:I90" si="24">ROUND(G88*H88/100,2)</f>
        <v>925.45</v>
      </c>
      <c r="J88" s="9" t="s">
        <v>0</v>
      </c>
      <c r="K88" s="9" t="s">
        <v>0</v>
      </c>
      <c r="L88" s="9" t="s">
        <v>0</v>
      </c>
      <c r="M88" s="9" t="s">
        <v>8</v>
      </c>
    </row>
    <row r="89" ht="36" spans="1:13">
      <c r="A89" s="4" t="s">
        <v>209</v>
      </c>
      <c r="B89" s="4" t="s">
        <v>210</v>
      </c>
      <c r="C89" s="4" t="s">
        <v>0</v>
      </c>
      <c r="D89" s="6" t="s">
        <v>211</v>
      </c>
      <c r="E89" s="6" t="s">
        <v>0</v>
      </c>
      <c r="F89" s="4" t="s">
        <v>205</v>
      </c>
      <c r="G89" s="29">
        <f t="shared" ref="G89:G90" si="25">$G$87</f>
        <v>68552.021127</v>
      </c>
      <c r="H89" s="4">
        <v>2.1</v>
      </c>
      <c r="I89" s="9">
        <f t="shared" si="24"/>
        <v>1439.59</v>
      </c>
      <c r="J89" s="9" t="s">
        <v>0</v>
      </c>
      <c r="K89" s="9" t="s">
        <v>0</v>
      </c>
      <c r="L89" s="9" t="s">
        <v>0</v>
      </c>
      <c r="M89" s="9" t="s">
        <v>8</v>
      </c>
    </row>
    <row r="90" ht="36" spans="1:13">
      <c r="A90" s="4" t="s">
        <v>212</v>
      </c>
      <c r="B90" s="4" t="s">
        <v>213</v>
      </c>
      <c r="C90" s="4" t="s">
        <v>0</v>
      </c>
      <c r="D90" s="6" t="s">
        <v>214</v>
      </c>
      <c r="E90" s="6" t="s">
        <v>0</v>
      </c>
      <c r="F90" s="4" t="s">
        <v>205</v>
      </c>
      <c r="G90" s="29">
        <f t="shared" si="25"/>
        <v>68552.021127</v>
      </c>
      <c r="H90" s="4">
        <v>3.35</v>
      </c>
      <c r="I90" s="9">
        <f t="shared" si="24"/>
        <v>2296.49</v>
      </c>
      <c r="J90" s="9" t="s">
        <v>0</v>
      </c>
      <c r="K90" s="9" t="s">
        <v>0</v>
      </c>
      <c r="L90" s="9" t="s">
        <v>0</v>
      </c>
      <c r="M90" s="9" t="s">
        <v>8</v>
      </c>
    </row>
    <row r="91" spans="1:13">
      <c r="A91" s="4" t="s">
        <v>71</v>
      </c>
      <c r="B91" s="4" t="s">
        <v>599</v>
      </c>
      <c r="C91" s="4" t="s">
        <v>0</v>
      </c>
      <c r="D91" s="6" t="s">
        <v>216</v>
      </c>
      <c r="E91" s="6" t="s">
        <v>0</v>
      </c>
      <c r="F91" s="4" t="s">
        <v>8</v>
      </c>
      <c r="G91" s="4"/>
      <c r="H91" s="4" t="s">
        <v>8</v>
      </c>
      <c r="I91" s="9"/>
      <c r="J91" s="9" t="s">
        <v>0</v>
      </c>
      <c r="K91" s="9" t="s">
        <v>0</v>
      </c>
      <c r="L91" s="9" t="s">
        <v>0</v>
      </c>
      <c r="M91" s="9" t="s">
        <v>8</v>
      </c>
    </row>
    <row r="92" spans="1:13">
      <c r="A92" s="4" t="s">
        <v>73</v>
      </c>
      <c r="B92" s="4" t="s">
        <v>600</v>
      </c>
      <c r="C92" s="4" t="s">
        <v>0</v>
      </c>
      <c r="D92" s="6" t="s">
        <v>218</v>
      </c>
      <c r="E92" s="6" t="s">
        <v>0</v>
      </c>
      <c r="F92" s="4" t="s">
        <v>8</v>
      </c>
      <c r="G92" s="4"/>
      <c r="H92" s="4" t="s">
        <v>8</v>
      </c>
      <c r="I92" s="9"/>
      <c r="J92" s="9" t="s">
        <v>0</v>
      </c>
      <c r="K92" s="9" t="s">
        <v>0</v>
      </c>
      <c r="L92" s="9" t="s">
        <v>0</v>
      </c>
      <c r="M92" s="9" t="s">
        <v>8</v>
      </c>
    </row>
    <row r="93" ht="36" spans="1:13">
      <c r="A93" s="4" t="s">
        <v>94</v>
      </c>
      <c r="B93" s="4" t="s">
        <v>601</v>
      </c>
      <c r="C93" s="4" t="s">
        <v>0</v>
      </c>
      <c r="D93" s="6" t="s">
        <v>220</v>
      </c>
      <c r="E93" s="6" t="s">
        <v>0</v>
      </c>
      <c r="F93" s="4" t="s">
        <v>205</v>
      </c>
      <c r="G93" s="29">
        <f t="shared" ref="G93" si="26">$G$87</f>
        <v>68552.021127</v>
      </c>
      <c r="H93" s="30">
        <v>0.36</v>
      </c>
      <c r="I93" s="9">
        <f t="shared" ref="I93" si="27">ROUND(G93*H93/100,2)</f>
        <v>246.79</v>
      </c>
      <c r="J93" s="9" t="s">
        <v>0</v>
      </c>
      <c r="K93" s="9" t="s">
        <v>0</v>
      </c>
      <c r="L93" s="9" t="s">
        <v>0</v>
      </c>
      <c r="M93" s="9" t="s">
        <v>8</v>
      </c>
    </row>
    <row r="94" spans="1:13">
      <c r="A94" s="4" t="s">
        <v>96</v>
      </c>
      <c r="B94" s="4" t="s">
        <v>602</v>
      </c>
      <c r="C94" s="4" t="s">
        <v>0</v>
      </c>
      <c r="D94" s="6" t="s">
        <v>222</v>
      </c>
      <c r="E94" s="6" t="s">
        <v>0</v>
      </c>
      <c r="F94" s="4" t="s">
        <v>8</v>
      </c>
      <c r="G94" s="4"/>
      <c r="H94" s="4" t="s">
        <v>8</v>
      </c>
      <c r="I94" s="9" t="s">
        <v>0</v>
      </c>
      <c r="J94" s="9" t="s">
        <v>0</v>
      </c>
      <c r="K94" s="9" t="s">
        <v>0</v>
      </c>
      <c r="L94" s="9" t="s">
        <v>0</v>
      </c>
      <c r="M94" s="9" t="s">
        <v>8</v>
      </c>
    </row>
    <row r="95" ht="27" customHeight="1" spans="1:13">
      <c r="A95" s="4" t="s">
        <v>98</v>
      </c>
      <c r="B95" s="4" t="s">
        <v>603</v>
      </c>
      <c r="C95" s="4" t="s">
        <v>0</v>
      </c>
      <c r="D95" s="6" t="s">
        <v>224</v>
      </c>
      <c r="E95" s="6" t="s">
        <v>0</v>
      </c>
      <c r="F95" s="4" t="s">
        <v>8</v>
      </c>
      <c r="G95" s="4"/>
      <c r="H95" s="4" t="s">
        <v>8</v>
      </c>
      <c r="I95" s="9" t="s">
        <v>0</v>
      </c>
      <c r="J95" s="9" t="s">
        <v>0</v>
      </c>
      <c r="K95" s="9" t="s">
        <v>0</v>
      </c>
      <c r="L95" s="9" t="s">
        <v>0</v>
      </c>
      <c r="M95" s="9" t="s">
        <v>8</v>
      </c>
    </row>
    <row r="96" spans="1:13">
      <c r="A96" s="4" t="s">
        <v>100</v>
      </c>
      <c r="B96" s="4" t="s">
        <v>604</v>
      </c>
      <c r="C96" s="4" t="s">
        <v>0</v>
      </c>
      <c r="D96" s="6" t="s">
        <v>226</v>
      </c>
      <c r="E96" s="6" t="s">
        <v>0</v>
      </c>
      <c r="F96" s="4" t="s">
        <v>8</v>
      </c>
      <c r="G96" s="4"/>
      <c r="H96" s="4" t="s">
        <v>8</v>
      </c>
      <c r="I96" s="9" t="s">
        <v>0</v>
      </c>
      <c r="J96" s="9" t="s">
        <v>0</v>
      </c>
      <c r="K96" s="9" t="s">
        <v>0</v>
      </c>
      <c r="L96" s="9" t="s">
        <v>0</v>
      </c>
      <c r="M96" s="9" t="s">
        <v>8</v>
      </c>
    </row>
    <row r="97" ht="36" spans="1:13">
      <c r="A97" s="4" t="s">
        <v>102</v>
      </c>
      <c r="B97" s="4" t="s">
        <v>605</v>
      </c>
      <c r="C97" s="4" t="s">
        <v>0</v>
      </c>
      <c r="D97" s="6" t="s">
        <v>228</v>
      </c>
      <c r="E97" s="6" t="s">
        <v>0</v>
      </c>
      <c r="F97" s="4" t="s">
        <v>229</v>
      </c>
      <c r="G97" s="29">
        <f t="shared" ref="G97" si="28">$G$87</f>
        <v>68552.021127</v>
      </c>
      <c r="H97" s="30">
        <v>0.09</v>
      </c>
      <c r="I97" s="9">
        <f t="shared" ref="I97" si="29">ROUND(G97*H97/100,2)</f>
        <v>61.7</v>
      </c>
      <c r="J97" s="35"/>
      <c r="K97" s="36"/>
      <c r="L97" s="9"/>
      <c r="M97" s="9"/>
    </row>
    <row r="98" spans="1:13">
      <c r="A98" s="31" t="s">
        <v>90</v>
      </c>
      <c r="B98" s="31"/>
      <c r="C98" s="31"/>
      <c r="D98" s="31"/>
      <c r="E98" s="31"/>
      <c r="F98" s="32"/>
      <c r="G98" s="32"/>
      <c r="H98" s="32"/>
      <c r="I98" s="40">
        <f>SUM(I87:I97)</f>
        <v>5347.06</v>
      </c>
      <c r="J98" s="38"/>
      <c r="K98" s="39"/>
      <c r="L98" s="32"/>
      <c r="M98" s="32"/>
    </row>
    <row r="99" ht="46.2" customHeight="1" spans="1:13">
      <c r="A99" s="17" t="s">
        <v>409</v>
      </c>
      <c r="B99" s="17" t="s">
        <v>0</v>
      </c>
      <c r="C99" s="17" t="s">
        <v>0</v>
      </c>
      <c r="D99" s="17" t="s">
        <v>0</v>
      </c>
      <c r="E99" s="17" t="s">
        <v>0</v>
      </c>
      <c r="F99" s="17" t="s">
        <v>0</v>
      </c>
      <c r="G99" s="17"/>
      <c r="H99" s="17" t="s">
        <v>0</v>
      </c>
      <c r="I99" s="17" t="s">
        <v>0</v>
      </c>
      <c r="J99" s="17" t="s">
        <v>0</v>
      </c>
      <c r="K99" s="17" t="s">
        <v>0</v>
      </c>
      <c r="L99" s="17" t="s">
        <v>0</v>
      </c>
      <c r="M99" s="17" t="s">
        <v>0</v>
      </c>
    </row>
  </sheetData>
  <mergeCells count="260">
    <mergeCell ref="A1:K1"/>
    <mergeCell ref="L1:M1"/>
    <mergeCell ref="A2:B2"/>
    <mergeCell ref="C2:J2"/>
    <mergeCell ref="K2:L2"/>
    <mergeCell ref="A3:B3"/>
    <mergeCell ref="C3:J3"/>
    <mergeCell ref="K3:L3"/>
    <mergeCell ref="A4:B4"/>
    <mergeCell ref="C4:J4"/>
    <mergeCell ref="K4:L4"/>
    <mergeCell ref="B5:C5"/>
    <mergeCell ref="D5:E5"/>
    <mergeCell ref="J5:K5"/>
    <mergeCell ref="B6:C6"/>
    <mergeCell ref="D6:E6"/>
    <mergeCell ref="J6:K6"/>
    <mergeCell ref="B7:C7"/>
    <mergeCell ref="D7:E7"/>
    <mergeCell ref="J7:K7"/>
    <mergeCell ref="B8:C8"/>
    <mergeCell ref="D8:E8"/>
    <mergeCell ref="J8:K8"/>
    <mergeCell ref="B9:C9"/>
    <mergeCell ref="D9:E9"/>
    <mergeCell ref="J9:K9"/>
    <mergeCell ref="B10:C10"/>
    <mergeCell ref="D10:E10"/>
    <mergeCell ref="J10:K10"/>
    <mergeCell ref="B11:C11"/>
    <mergeCell ref="D11:E11"/>
    <mergeCell ref="J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A18:E18"/>
    <mergeCell ref="J18:K18"/>
    <mergeCell ref="A19:M19"/>
    <mergeCell ref="A21:K21"/>
    <mergeCell ref="L21:M21"/>
    <mergeCell ref="A22:B22"/>
    <mergeCell ref="C22:J22"/>
    <mergeCell ref="K22:L22"/>
    <mergeCell ref="A23:B23"/>
    <mergeCell ref="C23:J23"/>
    <mergeCell ref="K23:L23"/>
    <mergeCell ref="A24:B24"/>
    <mergeCell ref="C24:J24"/>
    <mergeCell ref="K24:L24"/>
    <mergeCell ref="B25:C25"/>
    <mergeCell ref="D25:E25"/>
    <mergeCell ref="J25:K25"/>
    <mergeCell ref="B26:C26"/>
    <mergeCell ref="D26:E26"/>
    <mergeCell ref="J26:K26"/>
    <mergeCell ref="B27:C27"/>
    <mergeCell ref="D27:E27"/>
    <mergeCell ref="J27:K27"/>
    <mergeCell ref="B28:C28"/>
    <mergeCell ref="D28:E28"/>
    <mergeCell ref="J28:K28"/>
    <mergeCell ref="B29:C29"/>
    <mergeCell ref="D29:E29"/>
    <mergeCell ref="J29:K29"/>
    <mergeCell ref="B30:C30"/>
    <mergeCell ref="D30:E30"/>
    <mergeCell ref="J30:K30"/>
    <mergeCell ref="B31:C31"/>
    <mergeCell ref="D31:E31"/>
    <mergeCell ref="J31:K31"/>
    <mergeCell ref="B32:C32"/>
    <mergeCell ref="D32:E32"/>
    <mergeCell ref="J32:K32"/>
    <mergeCell ref="B33:C33"/>
    <mergeCell ref="D33:E33"/>
    <mergeCell ref="J33:K33"/>
    <mergeCell ref="B34:C34"/>
    <mergeCell ref="D34:E34"/>
    <mergeCell ref="J34:K34"/>
    <mergeCell ref="B35:C35"/>
    <mergeCell ref="D35:E35"/>
    <mergeCell ref="J35:K35"/>
    <mergeCell ref="B36:C36"/>
    <mergeCell ref="D36:E36"/>
    <mergeCell ref="J36:K36"/>
    <mergeCell ref="B37:C37"/>
    <mergeCell ref="D37:E37"/>
    <mergeCell ref="A38:E38"/>
    <mergeCell ref="J38:K38"/>
    <mergeCell ref="A39:M39"/>
    <mergeCell ref="A41:K41"/>
    <mergeCell ref="L41:M41"/>
    <mergeCell ref="A42:B42"/>
    <mergeCell ref="C42:J42"/>
    <mergeCell ref="K42:L42"/>
    <mergeCell ref="A43:B43"/>
    <mergeCell ref="C43:J43"/>
    <mergeCell ref="K43:L43"/>
    <mergeCell ref="A44:B44"/>
    <mergeCell ref="C44:J44"/>
    <mergeCell ref="K44:L44"/>
    <mergeCell ref="B45:C45"/>
    <mergeCell ref="D45:E45"/>
    <mergeCell ref="J45:K45"/>
    <mergeCell ref="B46:C46"/>
    <mergeCell ref="D46:E46"/>
    <mergeCell ref="J46:K46"/>
    <mergeCell ref="B47:C47"/>
    <mergeCell ref="D47:E47"/>
    <mergeCell ref="J47:K47"/>
    <mergeCell ref="B48:C48"/>
    <mergeCell ref="D48:E48"/>
    <mergeCell ref="J48:K48"/>
    <mergeCell ref="B49:C49"/>
    <mergeCell ref="D49:E49"/>
    <mergeCell ref="J49:K49"/>
    <mergeCell ref="B50:C50"/>
    <mergeCell ref="D50:E50"/>
    <mergeCell ref="J50:K50"/>
    <mergeCell ref="B51:C51"/>
    <mergeCell ref="D51:E51"/>
    <mergeCell ref="J51:K51"/>
    <mergeCell ref="B52:C52"/>
    <mergeCell ref="D52:E52"/>
    <mergeCell ref="J52:K52"/>
    <mergeCell ref="B53:C53"/>
    <mergeCell ref="D53:E53"/>
    <mergeCell ref="J53:K53"/>
    <mergeCell ref="B54:C54"/>
    <mergeCell ref="D54:E54"/>
    <mergeCell ref="J54:K54"/>
    <mergeCell ref="B55:C55"/>
    <mergeCell ref="D55:E55"/>
    <mergeCell ref="J55:K55"/>
    <mergeCell ref="B56:C56"/>
    <mergeCell ref="D56:E56"/>
    <mergeCell ref="J56:K56"/>
    <mergeCell ref="B57:C57"/>
    <mergeCell ref="D57:E57"/>
    <mergeCell ref="A58:E58"/>
    <mergeCell ref="J58:K58"/>
    <mergeCell ref="A59:M59"/>
    <mergeCell ref="A61:K61"/>
    <mergeCell ref="L61:M61"/>
    <mergeCell ref="A62:B62"/>
    <mergeCell ref="C62:J62"/>
    <mergeCell ref="K62:L62"/>
    <mergeCell ref="A63:B63"/>
    <mergeCell ref="C63:J63"/>
    <mergeCell ref="K63:L63"/>
    <mergeCell ref="A64:B64"/>
    <mergeCell ref="C64:J64"/>
    <mergeCell ref="K64:L64"/>
    <mergeCell ref="B65:C65"/>
    <mergeCell ref="D65:E65"/>
    <mergeCell ref="J65:K65"/>
    <mergeCell ref="B66:C66"/>
    <mergeCell ref="D66:E66"/>
    <mergeCell ref="J66:K66"/>
    <mergeCell ref="B67:C67"/>
    <mergeCell ref="D67:E67"/>
    <mergeCell ref="J67:K67"/>
    <mergeCell ref="B68:C68"/>
    <mergeCell ref="D68:E68"/>
    <mergeCell ref="J68:K68"/>
    <mergeCell ref="B69:C69"/>
    <mergeCell ref="D69:E69"/>
    <mergeCell ref="J69:K69"/>
    <mergeCell ref="B70:C70"/>
    <mergeCell ref="D70:E70"/>
    <mergeCell ref="J70:K70"/>
    <mergeCell ref="B71:C71"/>
    <mergeCell ref="D71:E71"/>
    <mergeCell ref="J71:K71"/>
    <mergeCell ref="B72:C72"/>
    <mergeCell ref="D72:E72"/>
    <mergeCell ref="J72:K72"/>
    <mergeCell ref="B73:C73"/>
    <mergeCell ref="D73:E73"/>
    <mergeCell ref="J73:K73"/>
    <mergeCell ref="B74:C74"/>
    <mergeCell ref="D74:E74"/>
    <mergeCell ref="J74:K74"/>
    <mergeCell ref="B75:C75"/>
    <mergeCell ref="D75:E75"/>
    <mergeCell ref="J75:K75"/>
    <mergeCell ref="B76:C76"/>
    <mergeCell ref="D76:E76"/>
    <mergeCell ref="J76:K76"/>
    <mergeCell ref="B77:C77"/>
    <mergeCell ref="D77:E77"/>
    <mergeCell ref="A78:E78"/>
    <mergeCell ref="J78:K78"/>
    <mergeCell ref="A79:M79"/>
    <mergeCell ref="A81:K81"/>
    <mergeCell ref="L81:M81"/>
    <mergeCell ref="A82:B82"/>
    <mergeCell ref="C82:J82"/>
    <mergeCell ref="K82:L82"/>
    <mergeCell ref="A83:B83"/>
    <mergeCell ref="C83:J83"/>
    <mergeCell ref="K83:L83"/>
    <mergeCell ref="A84:B84"/>
    <mergeCell ref="C84:J84"/>
    <mergeCell ref="K84:L84"/>
    <mergeCell ref="B85:C85"/>
    <mergeCell ref="D85:E85"/>
    <mergeCell ref="J85:K85"/>
    <mergeCell ref="B86:C86"/>
    <mergeCell ref="D86:E86"/>
    <mergeCell ref="J86:K86"/>
    <mergeCell ref="B87:C87"/>
    <mergeCell ref="D87:E87"/>
    <mergeCell ref="J87:K87"/>
    <mergeCell ref="B88:C88"/>
    <mergeCell ref="D88:E88"/>
    <mergeCell ref="J88:K88"/>
    <mergeCell ref="B89:C89"/>
    <mergeCell ref="D89:E89"/>
    <mergeCell ref="J89:K89"/>
    <mergeCell ref="B90:C90"/>
    <mergeCell ref="D90:E90"/>
    <mergeCell ref="J90:K90"/>
    <mergeCell ref="B91:C91"/>
    <mergeCell ref="D91:E91"/>
    <mergeCell ref="J91:K91"/>
    <mergeCell ref="B92:C92"/>
    <mergeCell ref="D92:E92"/>
    <mergeCell ref="J92:K92"/>
    <mergeCell ref="B93:C93"/>
    <mergeCell ref="D93:E93"/>
    <mergeCell ref="J93:K93"/>
    <mergeCell ref="B94:C94"/>
    <mergeCell ref="D94:E94"/>
    <mergeCell ref="J94:K94"/>
    <mergeCell ref="B95:C95"/>
    <mergeCell ref="D95:E95"/>
    <mergeCell ref="J95:K95"/>
    <mergeCell ref="B96:C96"/>
    <mergeCell ref="D96:E96"/>
    <mergeCell ref="J96:K96"/>
    <mergeCell ref="B97:C97"/>
    <mergeCell ref="D97:E97"/>
    <mergeCell ref="A98:E98"/>
    <mergeCell ref="J98:K98"/>
    <mergeCell ref="A99:M9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24"/>
  <sheetViews>
    <sheetView showZeros="0" workbookViewId="0">
      <selection activeCell="J5" sqref="J5"/>
    </sheetView>
  </sheetViews>
  <sheetFormatPr defaultColWidth="8.88888888888889" defaultRowHeight="14.4" outlineLevelCol="5"/>
  <cols>
    <col min="1" max="1" width="8.88888888888889" style="1"/>
    <col min="2" max="2" width="30.5555555555556" style="1" customWidth="1"/>
    <col min="3" max="3" width="11.4444444444444" style="1" customWidth="1"/>
    <col min="4" max="4" width="13.212962962963" style="1" customWidth="1"/>
    <col min="5" max="5" width="3.55555555555556" style="1" customWidth="1"/>
    <col min="6" max="6" width="20.212962962963" style="1" customWidth="1"/>
    <col min="7" max="16384" width="8.88888888888889" style="1"/>
  </cols>
  <sheetData>
    <row r="1" ht="35.4" customHeight="1" spans="1:6">
      <c r="A1" s="14" t="s">
        <v>252</v>
      </c>
      <c r="B1" s="14" t="s">
        <v>0</v>
      </c>
      <c r="C1" s="14" t="s">
        <v>0</v>
      </c>
      <c r="D1" s="14" t="s">
        <v>0</v>
      </c>
      <c r="E1" s="14" t="s">
        <v>0</v>
      </c>
      <c r="F1" s="14" t="s">
        <v>0</v>
      </c>
    </row>
    <row r="2" ht="19.95" customHeight="1" spans="1:6">
      <c r="A2" s="23"/>
      <c r="B2" s="23"/>
      <c r="C2" s="23"/>
      <c r="D2" s="23"/>
      <c r="E2" s="23"/>
      <c r="F2" s="15" t="s">
        <v>253</v>
      </c>
    </row>
    <row r="3" ht="22.8" customHeight="1" spans="1:6">
      <c r="A3" s="16" t="s">
        <v>22</v>
      </c>
      <c r="B3" s="17" t="s">
        <v>548</v>
      </c>
      <c r="C3" s="17"/>
      <c r="D3" s="17"/>
      <c r="E3" s="17"/>
      <c r="F3" s="16" t="str">
        <f>"工程数量："&amp;'[1]附表A-3建设任务按行政区划统计表'!$I$5&amp;"亩"</f>
        <v>工程数量：3773.7亩</v>
      </c>
    </row>
    <row r="4" ht="19.95" customHeight="1" spans="1:6">
      <c r="A4" s="4" t="s">
        <v>28</v>
      </c>
      <c r="B4" s="4" t="s">
        <v>254</v>
      </c>
      <c r="C4" s="4" t="s">
        <v>59</v>
      </c>
      <c r="D4" s="4" t="s">
        <v>255</v>
      </c>
      <c r="E4" s="4" t="s">
        <v>35</v>
      </c>
      <c r="F4" s="4" t="s">
        <v>0</v>
      </c>
    </row>
    <row r="5" ht="19.95" customHeight="1" spans="1:6">
      <c r="A5" s="4" t="s">
        <v>68</v>
      </c>
      <c r="B5" s="6" t="s">
        <v>256</v>
      </c>
      <c r="C5" s="9">
        <f>'F1.1暂列金额明细表（FY型）'!D26+'F1.1暂列金额明细表（FY型）'!D55+'F1.1暂列金额明细表（FY型）'!D84</f>
        <v>0</v>
      </c>
      <c r="D5" s="9" t="s">
        <v>0</v>
      </c>
      <c r="E5" s="4"/>
      <c r="F5" s="4"/>
    </row>
    <row r="6" ht="19.95" customHeight="1" spans="1:6">
      <c r="A6" s="4" t="s">
        <v>71</v>
      </c>
      <c r="B6" s="6" t="s">
        <v>257</v>
      </c>
      <c r="C6" s="9" t="s">
        <v>8</v>
      </c>
      <c r="D6" s="9" t="s">
        <v>0</v>
      </c>
      <c r="E6" s="4"/>
      <c r="F6" s="4"/>
    </row>
    <row r="7" ht="19.95" customHeight="1" spans="1:6">
      <c r="A7" s="4" t="s">
        <v>258</v>
      </c>
      <c r="B7" s="6" t="s">
        <v>259</v>
      </c>
      <c r="C7" s="4" t="s">
        <v>260</v>
      </c>
      <c r="D7" s="9" t="s">
        <v>0</v>
      </c>
      <c r="E7" s="4"/>
      <c r="F7" s="4"/>
    </row>
    <row r="8" ht="19.95" customHeight="1" spans="1:6">
      <c r="A8" s="4" t="s">
        <v>261</v>
      </c>
      <c r="B8" s="6" t="s">
        <v>262</v>
      </c>
      <c r="C8" s="9" t="s">
        <v>8</v>
      </c>
      <c r="D8" s="9" t="s">
        <v>0</v>
      </c>
      <c r="E8" s="4"/>
      <c r="F8" s="4"/>
    </row>
    <row r="9" ht="19.95" customHeight="1" spans="1:6">
      <c r="A9" s="4" t="s">
        <v>73</v>
      </c>
      <c r="B9" s="6" t="s">
        <v>263</v>
      </c>
      <c r="C9" s="9" t="s">
        <v>8</v>
      </c>
      <c r="D9" s="9" t="s">
        <v>0</v>
      </c>
      <c r="E9" s="4"/>
      <c r="F9" s="4"/>
    </row>
    <row r="10" ht="19.95" customHeight="1" spans="1:6">
      <c r="A10" s="4" t="s">
        <v>94</v>
      </c>
      <c r="B10" s="6" t="s">
        <v>264</v>
      </c>
      <c r="C10" s="9" t="s">
        <v>8</v>
      </c>
      <c r="D10" s="9" t="s">
        <v>0</v>
      </c>
      <c r="E10" s="4"/>
      <c r="F10" s="4"/>
    </row>
    <row r="11" ht="19.95" customHeight="1" spans="1:6">
      <c r="A11" s="4" t="s">
        <v>0</v>
      </c>
      <c r="B11" s="6" t="s">
        <v>0</v>
      </c>
      <c r="C11" s="9" t="s">
        <v>0</v>
      </c>
      <c r="D11" s="9" t="s">
        <v>0</v>
      </c>
      <c r="E11" s="4" t="s">
        <v>0</v>
      </c>
      <c r="F11" s="4" t="s">
        <v>0</v>
      </c>
    </row>
    <row r="12" ht="19.95" customHeight="1" spans="1:6">
      <c r="A12" s="4" t="s">
        <v>0</v>
      </c>
      <c r="B12" s="6" t="s">
        <v>0</v>
      </c>
      <c r="C12" s="9" t="s">
        <v>0</v>
      </c>
      <c r="D12" s="9" t="s">
        <v>0</v>
      </c>
      <c r="E12" s="4" t="s">
        <v>0</v>
      </c>
      <c r="F12" s="4" t="s">
        <v>0</v>
      </c>
    </row>
    <row r="13" ht="19.95" customHeight="1" spans="1:6">
      <c r="A13" s="4" t="s">
        <v>0</v>
      </c>
      <c r="B13" s="6" t="s">
        <v>0</v>
      </c>
      <c r="C13" s="9" t="s">
        <v>0</v>
      </c>
      <c r="D13" s="9" t="s">
        <v>0</v>
      </c>
      <c r="E13" s="4" t="s">
        <v>0</v>
      </c>
      <c r="F13" s="4" t="s">
        <v>0</v>
      </c>
    </row>
    <row r="14" ht="19.95" customHeight="1" spans="1:6">
      <c r="A14" s="4" t="s">
        <v>0</v>
      </c>
      <c r="B14" s="6" t="s">
        <v>0</v>
      </c>
      <c r="C14" s="9" t="s">
        <v>0</v>
      </c>
      <c r="D14" s="9" t="s">
        <v>0</v>
      </c>
      <c r="E14" s="4" t="s">
        <v>0</v>
      </c>
      <c r="F14" s="4" t="s">
        <v>0</v>
      </c>
    </row>
    <row r="15" ht="19.95" customHeight="1" spans="1:6">
      <c r="A15" s="4" t="s">
        <v>0</v>
      </c>
      <c r="B15" s="6" t="s">
        <v>0</v>
      </c>
      <c r="C15" s="9" t="s">
        <v>0</v>
      </c>
      <c r="D15" s="9" t="s">
        <v>0</v>
      </c>
      <c r="E15" s="4" t="s">
        <v>0</v>
      </c>
      <c r="F15" s="4" t="s">
        <v>0</v>
      </c>
    </row>
    <row r="16" ht="19.95" customHeight="1" spans="1:6">
      <c r="A16" s="4" t="s">
        <v>0</v>
      </c>
      <c r="B16" s="6" t="s">
        <v>0</v>
      </c>
      <c r="C16" s="9" t="s">
        <v>0</v>
      </c>
      <c r="D16" s="9" t="s">
        <v>0</v>
      </c>
      <c r="E16" s="4" t="s">
        <v>0</v>
      </c>
      <c r="F16" s="4" t="s">
        <v>0</v>
      </c>
    </row>
    <row r="17" ht="19.95" customHeight="1" spans="1:6">
      <c r="A17" s="4" t="s">
        <v>0</v>
      </c>
      <c r="B17" s="6" t="s">
        <v>0</v>
      </c>
      <c r="C17" s="9" t="s">
        <v>0</v>
      </c>
      <c r="D17" s="9" t="s">
        <v>0</v>
      </c>
      <c r="E17" s="4" t="s">
        <v>0</v>
      </c>
      <c r="F17" s="4" t="s">
        <v>0</v>
      </c>
    </row>
    <row r="18" ht="19.95" customHeight="1" spans="1:6">
      <c r="A18" s="4" t="s">
        <v>0</v>
      </c>
      <c r="B18" s="6" t="s">
        <v>0</v>
      </c>
      <c r="C18" s="9" t="s">
        <v>0</v>
      </c>
      <c r="D18" s="9" t="s">
        <v>0</v>
      </c>
      <c r="E18" s="4" t="s">
        <v>0</v>
      </c>
      <c r="F18" s="4" t="s">
        <v>0</v>
      </c>
    </row>
    <row r="19" ht="19.95" customHeight="1" spans="1:6">
      <c r="A19" s="4" t="s">
        <v>0</v>
      </c>
      <c r="B19" s="6" t="s">
        <v>0</v>
      </c>
      <c r="C19" s="9" t="s">
        <v>0</v>
      </c>
      <c r="D19" s="9" t="s">
        <v>0</v>
      </c>
      <c r="E19" s="4" t="s">
        <v>0</v>
      </c>
      <c r="F19" s="4" t="s">
        <v>0</v>
      </c>
    </row>
    <row r="20" ht="19.95" customHeight="1" spans="1:6">
      <c r="A20" s="4" t="s">
        <v>0</v>
      </c>
      <c r="B20" s="6" t="s">
        <v>0</v>
      </c>
      <c r="C20" s="9" t="s">
        <v>0</v>
      </c>
      <c r="D20" s="9" t="s">
        <v>0</v>
      </c>
      <c r="E20" s="4" t="s">
        <v>0</v>
      </c>
      <c r="F20" s="4" t="s">
        <v>0</v>
      </c>
    </row>
    <row r="21" ht="19.95" customHeight="1" spans="1:6">
      <c r="A21" s="4" t="s">
        <v>0</v>
      </c>
      <c r="B21" s="6" t="s">
        <v>0</v>
      </c>
      <c r="C21" s="9" t="s">
        <v>0</v>
      </c>
      <c r="D21" s="9" t="s">
        <v>0</v>
      </c>
      <c r="E21" s="4" t="s">
        <v>0</v>
      </c>
      <c r="F21" s="4" t="s">
        <v>0</v>
      </c>
    </row>
    <row r="22" ht="19.95" customHeight="1" spans="1:6">
      <c r="A22" s="4" t="s">
        <v>0</v>
      </c>
      <c r="B22" s="6" t="s">
        <v>0</v>
      </c>
      <c r="C22" s="9" t="s">
        <v>0</v>
      </c>
      <c r="D22" s="9" t="s">
        <v>0</v>
      </c>
      <c r="E22" s="4" t="s">
        <v>0</v>
      </c>
      <c r="F22" s="4" t="s">
        <v>0</v>
      </c>
    </row>
    <row r="23" ht="19.95" customHeight="1" spans="1:6">
      <c r="A23" s="4" t="s">
        <v>0</v>
      </c>
      <c r="B23" s="6" t="s">
        <v>0</v>
      </c>
      <c r="C23" s="9" t="s">
        <v>0</v>
      </c>
      <c r="D23" s="9" t="s">
        <v>0</v>
      </c>
      <c r="E23" s="4" t="s">
        <v>0</v>
      </c>
      <c r="F23" s="4" t="s">
        <v>0</v>
      </c>
    </row>
    <row r="24" ht="19.95" customHeight="1" spans="1:6">
      <c r="A24" s="4" t="s">
        <v>76</v>
      </c>
      <c r="B24" s="4" t="s">
        <v>0</v>
      </c>
      <c r="C24" s="9">
        <f>SUM(C5:C23)</f>
        <v>0</v>
      </c>
      <c r="D24" s="4" t="s">
        <v>0</v>
      </c>
      <c r="E24" s="4" t="s">
        <v>260</v>
      </c>
      <c r="F24" s="4" t="s">
        <v>0</v>
      </c>
    </row>
  </sheetData>
  <mergeCells count="25">
    <mergeCell ref="A1:F1"/>
    <mergeCell ref="C2:E2"/>
    <mergeCell ref="B3:E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A24:B24"/>
    <mergeCell ref="E24:F2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144"/>
  <sheetViews>
    <sheetView showZeros="0" topLeftCell="A75" workbookViewId="0">
      <selection activeCell="G125" sqref="G125"/>
    </sheetView>
  </sheetViews>
  <sheetFormatPr defaultColWidth="8.88888888888889" defaultRowHeight="19.95" customHeight="1" outlineLevelCol="4"/>
  <cols>
    <col min="1" max="1" width="9.88888888888889" style="1" customWidth="1"/>
    <col min="2" max="2" width="19" style="1" customWidth="1"/>
    <col min="3" max="3" width="21.5555555555556" style="1" customWidth="1"/>
    <col min="4" max="4" width="17.5555555555556" style="1" customWidth="1"/>
    <col min="5" max="5" width="14.3333333333333" style="1" customWidth="1"/>
    <col min="6" max="16384" width="8.88888888888889" style="1"/>
  </cols>
  <sheetData>
    <row r="1" customHeight="1" spans="1:5">
      <c r="A1" s="22" t="s">
        <v>265</v>
      </c>
      <c r="B1" s="22" t="s">
        <v>0</v>
      </c>
      <c r="C1" s="22" t="s">
        <v>0</v>
      </c>
      <c r="D1" s="22" t="s">
        <v>0</v>
      </c>
      <c r="E1" s="22" t="s">
        <v>0</v>
      </c>
    </row>
    <row r="2" customHeight="1" spans="1:5">
      <c r="A2" s="23"/>
      <c r="B2" s="23"/>
      <c r="C2" s="23"/>
      <c r="D2" s="23"/>
      <c r="E2" s="15" t="s">
        <v>606</v>
      </c>
    </row>
    <row r="3" customHeight="1" spans="1:5">
      <c r="A3" s="16" t="s">
        <v>22</v>
      </c>
      <c r="B3" s="17" t="s">
        <v>548</v>
      </c>
      <c r="C3" s="17"/>
      <c r="D3" s="17"/>
      <c r="E3" s="16" t="s">
        <v>81</v>
      </c>
    </row>
    <row r="4" customHeight="1" spans="1:5">
      <c r="A4" s="16" t="s">
        <v>82</v>
      </c>
      <c r="B4" s="17" t="s">
        <v>549</v>
      </c>
      <c r="C4" s="17"/>
      <c r="D4" s="17"/>
      <c r="E4" s="17" t="str">
        <f>"工程数量："&amp;'[1]附表C-6营造林工程投资概算'!$D$12</f>
        <v>工程数量：1326.2</v>
      </c>
    </row>
    <row r="5" customHeight="1" spans="1:5">
      <c r="A5" s="16" t="s">
        <v>84</v>
      </c>
      <c r="B5" s="18" t="s">
        <v>607</v>
      </c>
      <c r="C5" s="18"/>
      <c r="D5" s="18"/>
      <c r="E5" s="24"/>
    </row>
    <row r="6" customHeight="1" spans="1:5">
      <c r="A6" s="4" t="s">
        <v>28</v>
      </c>
      <c r="B6" s="4" t="s">
        <v>56</v>
      </c>
      <c r="C6" s="4" t="s">
        <v>267</v>
      </c>
      <c r="D6" s="4" t="s">
        <v>268</v>
      </c>
      <c r="E6" s="4" t="s">
        <v>35</v>
      </c>
    </row>
    <row r="7" customHeight="1" spans="1:5">
      <c r="A7" s="4" t="s">
        <v>68</v>
      </c>
      <c r="B7" s="6" t="s">
        <v>256</v>
      </c>
      <c r="C7" s="4" t="s">
        <v>269</v>
      </c>
      <c r="D7" s="9"/>
      <c r="E7" s="6" t="s">
        <v>8</v>
      </c>
    </row>
    <row r="8" customHeight="1" spans="1:5">
      <c r="A8" s="4" t="s">
        <v>0</v>
      </c>
      <c r="B8" s="6" t="s">
        <v>0</v>
      </c>
      <c r="C8" s="4" t="s">
        <v>0</v>
      </c>
      <c r="D8" s="9" t="s">
        <v>0</v>
      </c>
      <c r="E8" s="6" t="s">
        <v>0</v>
      </c>
    </row>
    <row r="9" customHeight="1" spans="1:5">
      <c r="A9" s="4" t="s">
        <v>0</v>
      </c>
      <c r="B9" s="6" t="s">
        <v>0</v>
      </c>
      <c r="C9" s="4" t="s">
        <v>0</v>
      </c>
      <c r="D9" s="9" t="s">
        <v>0</v>
      </c>
      <c r="E9" s="6" t="s">
        <v>0</v>
      </c>
    </row>
    <row r="10" customHeight="1" spans="1:5">
      <c r="A10" s="4" t="s">
        <v>0</v>
      </c>
      <c r="B10" s="6" t="s">
        <v>0</v>
      </c>
      <c r="C10" s="4" t="s">
        <v>0</v>
      </c>
      <c r="D10" s="9" t="s">
        <v>0</v>
      </c>
      <c r="E10" s="6" t="s">
        <v>0</v>
      </c>
    </row>
    <row r="11" customHeight="1" spans="1:5">
      <c r="A11" s="4" t="s">
        <v>0</v>
      </c>
      <c r="B11" s="6" t="s">
        <v>0</v>
      </c>
      <c r="C11" s="4" t="s">
        <v>0</v>
      </c>
      <c r="D11" s="9" t="s">
        <v>0</v>
      </c>
      <c r="E11" s="6" t="s">
        <v>0</v>
      </c>
    </row>
    <row r="12" customHeight="1" spans="1:5">
      <c r="A12" s="4" t="s">
        <v>0</v>
      </c>
      <c r="B12" s="6" t="s">
        <v>0</v>
      </c>
      <c r="C12" s="4" t="s">
        <v>0</v>
      </c>
      <c r="D12" s="9" t="s">
        <v>0</v>
      </c>
      <c r="E12" s="6" t="s">
        <v>0</v>
      </c>
    </row>
    <row r="13" customHeight="1" spans="1:5">
      <c r="A13" s="4" t="s">
        <v>0</v>
      </c>
      <c r="B13" s="6" t="s">
        <v>0</v>
      </c>
      <c r="C13" s="4" t="s">
        <v>0</v>
      </c>
      <c r="D13" s="9" t="s">
        <v>0</v>
      </c>
      <c r="E13" s="6" t="s">
        <v>0</v>
      </c>
    </row>
    <row r="14" customHeight="1" spans="1:5">
      <c r="A14" s="4" t="s">
        <v>0</v>
      </c>
      <c r="B14" s="6" t="s">
        <v>0</v>
      </c>
      <c r="C14" s="4" t="s">
        <v>0</v>
      </c>
      <c r="D14" s="9" t="s">
        <v>0</v>
      </c>
      <c r="E14" s="6" t="s">
        <v>0</v>
      </c>
    </row>
    <row r="15" customHeight="1" spans="1:5">
      <c r="A15" s="4" t="s">
        <v>0</v>
      </c>
      <c r="B15" s="6" t="s">
        <v>0</v>
      </c>
      <c r="C15" s="4" t="s">
        <v>0</v>
      </c>
      <c r="D15" s="9" t="s">
        <v>0</v>
      </c>
      <c r="E15" s="6" t="s">
        <v>0</v>
      </c>
    </row>
    <row r="16" customHeight="1" spans="1:5">
      <c r="A16" s="4" t="s">
        <v>0</v>
      </c>
      <c r="B16" s="6" t="s">
        <v>0</v>
      </c>
      <c r="C16" s="4" t="s">
        <v>0</v>
      </c>
      <c r="D16" s="9" t="s">
        <v>0</v>
      </c>
      <c r="E16" s="6" t="s">
        <v>0</v>
      </c>
    </row>
    <row r="17" customHeight="1" spans="1:5">
      <c r="A17" s="4" t="s">
        <v>0</v>
      </c>
      <c r="B17" s="6" t="s">
        <v>0</v>
      </c>
      <c r="C17" s="4" t="s">
        <v>0</v>
      </c>
      <c r="D17" s="9" t="s">
        <v>0</v>
      </c>
      <c r="E17" s="6" t="s">
        <v>0</v>
      </c>
    </row>
    <row r="18" customHeight="1" spans="1:5">
      <c r="A18" s="4" t="s">
        <v>0</v>
      </c>
      <c r="B18" s="6" t="s">
        <v>0</v>
      </c>
      <c r="C18" s="4" t="s">
        <v>0</v>
      </c>
      <c r="D18" s="9" t="s">
        <v>0</v>
      </c>
      <c r="E18" s="6" t="s">
        <v>0</v>
      </c>
    </row>
    <row r="19" customHeight="1" spans="1:5">
      <c r="A19" s="4" t="s">
        <v>0</v>
      </c>
      <c r="B19" s="6" t="s">
        <v>0</v>
      </c>
      <c r="C19" s="4" t="s">
        <v>0</v>
      </c>
      <c r="D19" s="9" t="s">
        <v>0</v>
      </c>
      <c r="E19" s="6" t="s">
        <v>0</v>
      </c>
    </row>
    <row r="20" customHeight="1" spans="1:5">
      <c r="A20" s="4" t="s">
        <v>0</v>
      </c>
      <c r="B20" s="6" t="s">
        <v>0</v>
      </c>
      <c r="C20" s="4" t="s">
        <v>0</v>
      </c>
      <c r="D20" s="9" t="s">
        <v>0</v>
      </c>
      <c r="E20" s="6" t="s">
        <v>0</v>
      </c>
    </row>
    <row r="21" customHeight="1" spans="1:5">
      <c r="A21" s="4" t="s">
        <v>0</v>
      </c>
      <c r="B21" s="6" t="s">
        <v>0</v>
      </c>
      <c r="C21" s="4" t="s">
        <v>0</v>
      </c>
      <c r="D21" s="9" t="s">
        <v>0</v>
      </c>
      <c r="E21" s="6" t="s">
        <v>0</v>
      </c>
    </row>
    <row r="22" customHeight="1" spans="1:5">
      <c r="A22" s="4" t="s">
        <v>0</v>
      </c>
      <c r="B22" s="6" t="s">
        <v>0</v>
      </c>
      <c r="C22" s="4" t="s">
        <v>0</v>
      </c>
      <c r="D22" s="9" t="s">
        <v>0</v>
      </c>
      <c r="E22" s="6" t="s">
        <v>0</v>
      </c>
    </row>
    <row r="23" customHeight="1" spans="1:5">
      <c r="A23" s="4" t="s">
        <v>0</v>
      </c>
      <c r="B23" s="6" t="s">
        <v>0</v>
      </c>
      <c r="C23" s="4" t="s">
        <v>0</v>
      </c>
      <c r="D23" s="9" t="s">
        <v>0</v>
      </c>
      <c r="E23" s="6" t="s">
        <v>0</v>
      </c>
    </row>
    <row r="24" customHeight="1" spans="1:5">
      <c r="A24" s="4" t="s">
        <v>0</v>
      </c>
      <c r="B24" s="6" t="s">
        <v>0</v>
      </c>
      <c r="C24" s="4" t="s">
        <v>0</v>
      </c>
      <c r="D24" s="9" t="s">
        <v>0</v>
      </c>
      <c r="E24" s="6" t="s">
        <v>0</v>
      </c>
    </row>
    <row r="25" customHeight="1" spans="1:5">
      <c r="A25" s="4" t="s">
        <v>0</v>
      </c>
      <c r="B25" s="6" t="s">
        <v>0</v>
      </c>
      <c r="C25" s="4" t="s">
        <v>0</v>
      </c>
      <c r="D25" s="9" t="s">
        <v>0</v>
      </c>
      <c r="E25" s="6" t="s">
        <v>0</v>
      </c>
    </row>
    <row r="26" customHeight="1" spans="1:5">
      <c r="A26" s="4" t="s">
        <v>76</v>
      </c>
      <c r="B26" s="4" t="s">
        <v>0</v>
      </c>
      <c r="C26" s="4" t="s">
        <v>0</v>
      </c>
      <c r="D26" s="4">
        <f>SUM(D7:D25)</f>
        <v>0</v>
      </c>
      <c r="E26" s="4" t="s">
        <v>260</v>
      </c>
    </row>
    <row r="27" customHeight="1" spans="1:5">
      <c r="A27" s="25"/>
      <c r="B27" s="25"/>
      <c r="C27" s="25"/>
      <c r="D27" s="25"/>
      <c r="E27" s="25"/>
    </row>
    <row r="28" ht="37.2" customHeight="1" spans="1:5">
      <c r="A28" s="26" t="s">
        <v>270</v>
      </c>
      <c r="B28" s="26" t="s">
        <v>0</v>
      </c>
      <c r="C28" s="26" t="s">
        <v>0</v>
      </c>
      <c r="D28" s="26" t="s">
        <v>0</v>
      </c>
      <c r="E28" s="26" t="s">
        <v>0</v>
      </c>
    </row>
    <row r="29" ht="189.6" customHeight="1"/>
    <row r="30" customHeight="1" spans="1:5">
      <c r="A30" s="22" t="s">
        <v>265</v>
      </c>
      <c r="B30" s="22" t="s">
        <v>0</v>
      </c>
      <c r="C30" s="22" t="s">
        <v>0</v>
      </c>
      <c r="D30" s="22" t="s">
        <v>0</v>
      </c>
      <c r="E30" s="22" t="s">
        <v>0</v>
      </c>
    </row>
    <row r="31" customHeight="1" spans="1:5">
      <c r="A31" s="23"/>
      <c r="B31" s="23"/>
      <c r="C31" s="23"/>
      <c r="D31" s="23"/>
      <c r="E31" s="15" t="s">
        <v>608</v>
      </c>
    </row>
    <row r="32" customHeight="1" spans="1:5">
      <c r="A32" s="16" t="s">
        <v>22</v>
      </c>
      <c r="B32" s="17" t="s">
        <v>548</v>
      </c>
      <c r="C32" s="17"/>
      <c r="D32" s="17"/>
      <c r="E32" s="16" t="s">
        <v>81</v>
      </c>
    </row>
    <row r="33" customHeight="1" spans="1:5">
      <c r="A33" s="16" t="s">
        <v>82</v>
      </c>
      <c r="B33" s="17" t="s">
        <v>561</v>
      </c>
      <c r="C33" s="17"/>
      <c r="D33" s="17"/>
      <c r="E33" s="27" t="str">
        <f>"工程数量："&amp;'[1]附表C-6营造林工程投资概算'!$D$13</f>
        <v>工程数量：2052.76</v>
      </c>
    </row>
    <row r="34" customHeight="1" spans="1:5">
      <c r="A34" s="16" t="s">
        <v>84</v>
      </c>
      <c r="B34" s="18" t="s">
        <v>609</v>
      </c>
      <c r="C34" s="18"/>
      <c r="D34" s="18"/>
      <c r="E34" s="24"/>
    </row>
    <row r="35" customHeight="1" spans="1:5">
      <c r="A35" s="4" t="s">
        <v>28</v>
      </c>
      <c r="B35" s="4" t="s">
        <v>56</v>
      </c>
      <c r="C35" s="4" t="s">
        <v>267</v>
      </c>
      <c r="D35" s="4" t="s">
        <v>268</v>
      </c>
      <c r="E35" s="4" t="s">
        <v>35</v>
      </c>
    </row>
    <row r="36" customHeight="1" spans="1:5">
      <c r="A36" s="4" t="s">
        <v>68</v>
      </c>
      <c r="B36" s="6" t="s">
        <v>256</v>
      </c>
      <c r="C36" s="4" t="s">
        <v>269</v>
      </c>
      <c r="D36" s="9"/>
      <c r="E36" s="6" t="s">
        <v>8</v>
      </c>
    </row>
    <row r="37" customHeight="1" spans="1:5">
      <c r="A37" s="4" t="s">
        <v>0</v>
      </c>
      <c r="B37" s="6" t="s">
        <v>0</v>
      </c>
      <c r="C37" s="4" t="s">
        <v>0</v>
      </c>
      <c r="D37" s="9" t="s">
        <v>0</v>
      </c>
      <c r="E37" s="6" t="s">
        <v>0</v>
      </c>
    </row>
    <row r="38" customHeight="1" spans="1:5">
      <c r="A38" s="4" t="s">
        <v>0</v>
      </c>
      <c r="B38" s="6" t="s">
        <v>0</v>
      </c>
      <c r="C38" s="4" t="s">
        <v>0</v>
      </c>
      <c r="D38" s="9" t="s">
        <v>0</v>
      </c>
      <c r="E38" s="6" t="s">
        <v>0</v>
      </c>
    </row>
    <row r="39" customHeight="1" spans="1:5">
      <c r="A39" s="4" t="s">
        <v>0</v>
      </c>
      <c r="B39" s="6" t="s">
        <v>0</v>
      </c>
      <c r="C39" s="4" t="s">
        <v>0</v>
      </c>
      <c r="D39" s="9" t="s">
        <v>0</v>
      </c>
      <c r="E39" s="6" t="s">
        <v>0</v>
      </c>
    </row>
    <row r="40" customHeight="1" spans="1:5">
      <c r="A40" s="4" t="s">
        <v>0</v>
      </c>
      <c r="B40" s="6" t="s">
        <v>0</v>
      </c>
      <c r="C40" s="4" t="s">
        <v>0</v>
      </c>
      <c r="D40" s="9" t="s">
        <v>0</v>
      </c>
      <c r="E40" s="6" t="s">
        <v>0</v>
      </c>
    </row>
    <row r="41" customHeight="1" spans="1:5">
      <c r="A41" s="4" t="s">
        <v>0</v>
      </c>
      <c r="B41" s="6" t="s">
        <v>0</v>
      </c>
      <c r="C41" s="4" t="s">
        <v>0</v>
      </c>
      <c r="D41" s="9" t="s">
        <v>0</v>
      </c>
      <c r="E41" s="6" t="s">
        <v>0</v>
      </c>
    </row>
    <row r="42" customHeight="1" spans="1:5">
      <c r="A42" s="4" t="s">
        <v>0</v>
      </c>
      <c r="B42" s="6" t="s">
        <v>0</v>
      </c>
      <c r="C42" s="4" t="s">
        <v>0</v>
      </c>
      <c r="D42" s="9" t="s">
        <v>0</v>
      </c>
      <c r="E42" s="6" t="s">
        <v>0</v>
      </c>
    </row>
    <row r="43" customHeight="1" spans="1:5">
      <c r="A43" s="4" t="s">
        <v>0</v>
      </c>
      <c r="B43" s="6" t="s">
        <v>0</v>
      </c>
      <c r="C43" s="4" t="s">
        <v>0</v>
      </c>
      <c r="D43" s="9" t="s">
        <v>0</v>
      </c>
      <c r="E43" s="6" t="s">
        <v>0</v>
      </c>
    </row>
    <row r="44" customHeight="1" spans="1:5">
      <c r="A44" s="4" t="s">
        <v>0</v>
      </c>
      <c r="B44" s="6" t="s">
        <v>0</v>
      </c>
      <c r="C44" s="4" t="s">
        <v>0</v>
      </c>
      <c r="D44" s="9" t="s">
        <v>0</v>
      </c>
      <c r="E44" s="6" t="s">
        <v>0</v>
      </c>
    </row>
    <row r="45" customHeight="1" spans="1:5">
      <c r="A45" s="4" t="s">
        <v>0</v>
      </c>
      <c r="B45" s="6" t="s">
        <v>0</v>
      </c>
      <c r="C45" s="4" t="s">
        <v>0</v>
      </c>
      <c r="D45" s="9" t="s">
        <v>0</v>
      </c>
      <c r="E45" s="6" t="s">
        <v>0</v>
      </c>
    </row>
    <row r="46" customHeight="1" spans="1:5">
      <c r="A46" s="4" t="s">
        <v>0</v>
      </c>
      <c r="B46" s="6" t="s">
        <v>0</v>
      </c>
      <c r="C46" s="4" t="s">
        <v>0</v>
      </c>
      <c r="D46" s="9" t="s">
        <v>0</v>
      </c>
      <c r="E46" s="6" t="s">
        <v>0</v>
      </c>
    </row>
    <row r="47" customHeight="1" spans="1:5">
      <c r="A47" s="4" t="s">
        <v>0</v>
      </c>
      <c r="B47" s="6" t="s">
        <v>0</v>
      </c>
      <c r="C47" s="4" t="s">
        <v>0</v>
      </c>
      <c r="D47" s="9" t="s">
        <v>0</v>
      </c>
      <c r="E47" s="6" t="s">
        <v>0</v>
      </c>
    </row>
    <row r="48" customHeight="1" spans="1:5">
      <c r="A48" s="4" t="s">
        <v>0</v>
      </c>
      <c r="B48" s="6" t="s">
        <v>0</v>
      </c>
      <c r="C48" s="4" t="s">
        <v>0</v>
      </c>
      <c r="D48" s="9" t="s">
        <v>0</v>
      </c>
      <c r="E48" s="6" t="s">
        <v>0</v>
      </c>
    </row>
    <row r="49" customHeight="1" spans="1:5">
      <c r="A49" s="4" t="s">
        <v>0</v>
      </c>
      <c r="B49" s="6" t="s">
        <v>0</v>
      </c>
      <c r="C49" s="4" t="s">
        <v>0</v>
      </c>
      <c r="D49" s="9" t="s">
        <v>0</v>
      </c>
      <c r="E49" s="6" t="s">
        <v>0</v>
      </c>
    </row>
    <row r="50" customHeight="1" spans="1:5">
      <c r="A50" s="4" t="s">
        <v>0</v>
      </c>
      <c r="B50" s="6" t="s">
        <v>0</v>
      </c>
      <c r="C50" s="4" t="s">
        <v>0</v>
      </c>
      <c r="D50" s="9" t="s">
        <v>0</v>
      </c>
      <c r="E50" s="6" t="s">
        <v>0</v>
      </c>
    </row>
    <row r="51" customHeight="1" spans="1:5">
      <c r="A51" s="4" t="s">
        <v>0</v>
      </c>
      <c r="B51" s="6" t="s">
        <v>0</v>
      </c>
      <c r="C51" s="4" t="s">
        <v>0</v>
      </c>
      <c r="D51" s="9" t="s">
        <v>0</v>
      </c>
      <c r="E51" s="6" t="s">
        <v>0</v>
      </c>
    </row>
    <row r="52" customHeight="1" spans="1:5">
      <c r="A52" s="4" t="s">
        <v>0</v>
      </c>
      <c r="B52" s="6" t="s">
        <v>0</v>
      </c>
      <c r="C52" s="4" t="s">
        <v>0</v>
      </c>
      <c r="D52" s="9" t="s">
        <v>0</v>
      </c>
      <c r="E52" s="6" t="s">
        <v>0</v>
      </c>
    </row>
    <row r="53" customHeight="1" spans="1:5">
      <c r="A53" s="4" t="s">
        <v>0</v>
      </c>
      <c r="B53" s="6" t="s">
        <v>0</v>
      </c>
      <c r="C53" s="4" t="s">
        <v>0</v>
      </c>
      <c r="D53" s="9" t="s">
        <v>0</v>
      </c>
      <c r="E53" s="6" t="s">
        <v>0</v>
      </c>
    </row>
    <row r="54" customHeight="1" spans="1:5">
      <c r="A54" s="4" t="s">
        <v>0</v>
      </c>
      <c r="B54" s="6" t="s">
        <v>0</v>
      </c>
      <c r="C54" s="4" t="s">
        <v>0</v>
      </c>
      <c r="D54" s="9" t="s">
        <v>0</v>
      </c>
      <c r="E54" s="6" t="s">
        <v>0</v>
      </c>
    </row>
    <row r="55" customHeight="1" spans="1:5">
      <c r="A55" s="4" t="s">
        <v>76</v>
      </c>
      <c r="B55" s="4" t="s">
        <v>0</v>
      </c>
      <c r="C55" s="4" t="s">
        <v>0</v>
      </c>
      <c r="D55" s="4">
        <f>SUM(D36:D54)</f>
        <v>0</v>
      </c>
      <c r="E55" s="4" t="s">
        <v>260</v>
      </c>
    </row>
    <row r="56" customHeight="1" spans="1:5">
      <c r="A56" s="25"/>
      <c r="B56" s="25"/>
      <c r="C56" s="25"/>
      <c r="D56" s="25"/>
      <c r="E56" s="25"/>
    </row>
    <row r="57" ht="43.2" customHeight="1" spans="1:5">
      <c r="A57" s="26" t="s">
        <v>270</v>
      </c>
      <c r="B57" s="26" t="s">
        <v>0</v>
      </c>
      <c r="C57" s="26" t="s">
        <v>0</v>
      </c>
      <c r="D57" s="26" t="s">
        <v>0</v>
      </c>
      <c r="E57" s="26" t="s">
        <v>0</v>
      </c>
    </row>
    <row r="58" ht="198" customHeight="1"/>
    <row r="59" customHeight="1" spans="1:5">
      <c r="A59" s="22" t="s">
        <v>265</v>
      </c>
      <c r="B59" s="22" t="s">
        <v>0</v>
      </c>
      <c r="C59" s="22" t="s">
        <v>0</v>
      </c>
      <c r="D59" s="22" t="s">
        <v>0</v>
      </c>
      <c r="E59" s="22" t="s">
        <v>0</v>
      </c>
    </row>
    <row r="60" ht="22.8" customHeight="1" spans="1:5">
      <c r="A60" s="23"/>
      <c r="B60" s="23"/>
      <c r="C60" s="23"/>
      <c r="D60" s="23"/>
      <c r="E60" s="15" t="s">
        <v>610</v>
      </c>
    </row>
    <row r="61" customHeight="1" spans="1:5">
      <c r="A61" s="16" t="s">
        <v>22</v>
      </c>
      <c r="B61" s="17" t="s">
        <v>548</v>
      </c>
      <c r="C61" s="17"/>
      <c r="D61" s="17"/>
      <c r="E61" s="16" t="s">
        <v>81</v>
      </c>
    </row>
    <row r="62" customHeight="1" spans="1:5">
      <c r="A62" s="16" t="s">
        <v>82</v>
      </c>
      <c r="B62" s="17" t="s">
        <v>573</v>
      </c>
      <c r="C62" s="17"/>
      <c r="D62" s="17"/>
      <c r="E62" s="17" t="str">
        <f>"工程数量："&amp;'[1]附表C-6营造林工程投资概算'!$D$14</f>
        <v>工程数量：59.45</v>
      </c>
    </row>
    <row r="63" customHeight="1" spans="1:5">
      <c r="A63" s="16" t="s">
        <v>84</v>
      </c>
      <c r="B63" s="18" t="s">
        <v>611</v>
      </c>
      <c r="C63" s="18"/>
      <c r="D63" s="18"/>
      <c r="E63" s="24"/>
    </row>
    <row r="64" customHeight="1" spans="1:5">
      <c r="A64" s="4" t="s">
        <v>28</v>
      </c>
      <c r="B64" s="4" t="s">
        <v>56</v>
      </c>
      <c r="C64" s="4" t="s">
        <v>267</v>
      </c>
      <c r="D64" s="4" t="s">
        <v>268</v>
      </c>
      <c r="E64" s="4" t="s">
        <v>35</v>
      </c>
    </row>
    <row r="65" customHeight="1" spans="1:5">
      <c r="A65" s="4" t="s">
        <v>68</v>
      </c>
      <c r="B65" s="6" t="s">
        <v>256</v>
      </c>
      <c r="C65" s="4" t="s">
        <v>269</v>
      </c>
      <c r="D65" s="9"/>
      <c r="E65" s="6" t="s">
        <v>8</v>
      </c>
    </row>
    <row r="66" customHeight="1" spans="1:5">
      <c r="A66" s="4" t="s">
        <v>0</v>
      </c>
      <c r="B66" s="6" t="s">
        <v>0</v>
      </c>
      <c r="C66" s="4" t="s">
        <v>0</v>
      </c>
      <c r="D66" s="9" t="s">
        <v>0</v>
      </c>
      <c r="E66" s="6" t="s">
        <v>0</v>
      </c>
    </row>
    <row r="67" customHeight="1" spans="1:5">
      <c r="A67" s="4" t="s">
        <v>0</v>
      </c>
      <c r="B67" s="6" t="s">
        <v>0</v>
      </c>
      <c r="C67" s="4" t="s">
        <v>0</v>
      </c>
      <c r="D67" s="9" t="s">
        <v>0</v>
      </c>
      <c r="E67" s="6" t="s">
        <v>0</v>
      </c>
    </row>
    <row r="68" customHeight="1" spans="1:5">
      <c r="A68" s="4" t="s">
        <v>0</v>
      </c>
      <c r="B68" s="6" t="s">
        <v>0</v>
      </c>
      <c r="C68" s="4" t="s">
        <v>0</v>
      </c>
      <c r="D68" s="9" t="s">
        <v>0</v>
      </c>
      <c r="E68" s="6" t="s">
        <v>0</v>
      </c>
    </row>
    <row r="69" customHeight="1" spans="1:5">
      <c r="A69" s="4" t="s">
        <v>0</v>
      </c>
      <c r="B69" s="6" t="s">
        <v>0</v>
      </c>
      <c r="C69" s="4" t="s">
        <v>0</v>
      </c>
      <c r="D69" s="9" t="s">
        <v>0</v>
      </c>
      <c r="E69" s="6" t="s">
        <v>0</v>
      </c>
    </row>
    <row r="70" customHeight="1" spans="1:5">
      <c r="A70" s="4" t="s">
        <v>0</v>
      </c>
      <c r="B70" s="6" t="s">
        <v>0</v>
      </c>
      <c r="C70" s="4" t="s">
        <v>0</v>
      </c>
      <c r="D70" s="9" t="s">
        <v>0</v>
      </c>
      <c r="E70" s="6" t="s">
        <v>0</v>
      </c>
    </row>
    <row r="71" customHeight="1" spans="1:5">
      <c r="A71" s="4" t="s">
        <v>0</v>
      </c>
      <c r="B71" s="6" t="s">
        <v>0</v>
      </c>
      <c r="C71" s="4" t="s">
        <v>0</v>
      </c>
      <c r="D71" s="9" t="s">
        <v>0</v>
      </c>
      <c r="E71" s="6" t="s">
        <v>0</v>
      </c>
    </row>
    <row r="72" customHeight="1" spans="1:5">
      <c r="A72" s="4" t="s">
        <v>0</v>
      </c>
      <c r="B72" s="6" t="s">
        <v>0</v>
      </c>
      <c r="C72" s="4" t="s">
        <v>0</v>
      </c>
      <c r="D72" s="9" t="s">
        <v>0</v>
      </c>
      <c r="E72" s="6" t="s">
        <v>0</v>
      </c>
    </row>
    <row r="73" customHeight="1" spans="1:5">
      <c r="A73" s="4" t="s">
        <v>0</v>
      </c>
      <c r="B73" s="6" t="s">
        <v>0</v>
      </c>
      <c r="C73" s="4" t="s">
        <v>0</v>
      </c>
      <c r="D73" s="9" t="s">
        <v>0</v>
      </c>
      <c r="E73" s="6" t="s">
        <v>0</v>
      </c>
    </row>
    <row r="74" customHeight="1" spans="1:5">
      <c r="A74" s="4" t="s">
        <v>0</v>
      </c>
      <c r="B74" s="6" t="s">
        <v>0</v>
      </c>
      <c r="C74" s="4" t="s">
        <v>0</v>
      </c>
      <c r="D74" s="9" t="s">
        <v>0</v>
      </c>
      <c r="E74" s="6" t="s">
        <v>0</v>
      </c>
    </row>
    <row r="75" customHeight="1" spans="1:5">
      <c r="A75" s="4" t="s">
        <v>0</v>
      </c>
      <c r="B75" s="6" t="s">
        <v>0</v>
      </c>
      <c r="C75" s="4" t="s">
        <v>0</v>
      </c>
      <c r="D75" s="9" t="s">
        <v>0</v>
      </c>
      <c r="E75" s="6" t="s">
        <v>0</v>
      </c>
    </row>
    <row r="76" customHeight="1" spans="1:5">
      <c r="A76" s="4" t="s">
        <v>0</v>
      </c>
      <c r="B76" s="6" t="s">
        <v>0</v>
      </c>
      <c r="C76" s="4" t="s">
        <v>0</v>
      </c>
      <c r="D76" s="9" t="s">
        <v>0</v>
      </c>
      <c r="E76" s="6" t="s">
        <v>0</v>
      </c>
    </row>
    <row r="77" customHeight="1" spans="1:5">
      <c r="A77" s="4" t="s">
        <v>0</v>
      </c>
      <c r="B77" s="6" t="s">
        <v>0</v>
      </c>
      <c r="C77" s="4" t="s">
        <v>0</v>
      </c>
      <c r="D77" s="9" t="s">
        <v>0</v>
      </c>
      <c r="E77" s="6" t="s">
        <v>0</v>
      </c>
    </row>
    <row r="78" customHeight="1" spans="1:5">
      <c r="A78" s="4" t="s">
        <v>0</v>
      </c>
      <c r="B78" s="6" t="s">
        <v>0</v>
      </c>
      <c r="C78" s="4" t="s">
        <v>0</v>
      </c>
      <c r="D78" s="9" t="s">
        <v>0</v>
      </c>
      <c r="E78" s="6" t="s">
        <v>0</v>
      </c>
    </row>
    <row r="79" customHeight="1" spans="1:5">
      <c r="A79" s="4" t="s">
        <v>0</v>
      </c>
      <c r="B79" s="6" t="s">
        <v>0</v>
      </c>
      <c r="C79" s="4" t="s">
        <v>0</v>
      </c>
      <c r="D79" s="9" t="s">
        <v>0</v>
      </c>
      <c r="E79" s="6" t="s">
        <v>0</v>
      </c>
    </row>
    <row r="80" customHeight="1" spans="1:5">
      <c r="A80" s="4" t="s">
        <v>0</v>
      </c>
      <c r="B80" s="6" t="s">
        <v>0</v>
      </c>
      <c r="C80" s="4" t="s">
        <v>0</v>
      </c>
      <c r="D80" s="9" t="s">
        <v>0</v>
      </c>
      <c r="E80" s="6" t="s">
        <v>0</v>
      </c>
    </row>
    <row r="81" customHeight="1" spans="1:5">
      <c r="A81" s="4" t="s">
        <v>0</v>
      </c>
      <c r="B81" s="6" t="s">
        <v>0</v>
      </c>
      <c r="C81" s="4" t="s">
        <v>0</v>
      </c>
      <c r="D81" s="9" t="s">
        <v>0</v>
      </c>
      <c r="E81" s="6" t="s">
        <v>0</v>
      </c>
    </row>
    <row r="82" customHeight="1" spans="1:5">
      <c r="A82" s="4" t="s">
        <v>0</v>
      </c>
      <c r="B82" s="6" t="s">
        <v>0</v>
      </c>
      <c r="C82" s="4" t="s">
        <v>0</v>
      </c>
      <c r="D82" s="9" t="s">
        <v>0</v>
      </c>
      <c r="E82" s="6" t="s">
        <v>0</v>
      </c>
    </row>
    <row r="83" customHeight="1" spans="1:5">
      <c r="A83" s="4" t="s">
        <v>0</v>
      </c>
      <c r="B83" s="6" t="s">
        <v>0</v>
      </c>
      <c r="C83" s="4" t="s">
        <v>0</v>
      </c>
      <c r="D83" s="9" t="s">
        <v>0</v>
      </c>
      <c r="E83" s="6" t="s">
        <v>0</v>
      </c>
    </row>
    <row r="84" customHeight="1" spans="1:5">
      <c r="A84" s="4" t="s">
        <v>76</v>
      </c>
      <c r="B84" s="4" t="s">
        <v>0</v>
      </c>
      <c r="C84" s="4" t="s">
        <v>0</v>
      </c>
      <c r="D84" s="4">
        <f>SUM(D65:D83)</f>
        <v>0</v>
      </c>
      <c r="E84" s="4" t="s">
        <v>260</v>
      </c>
    </row>
    <row r="85" customHeight="1" spans="1:5">
      <c r="A85" s="25"/>
      <c r="B85" s="25"/>
      <c r="C85" s="25"/>
      <c r="D85" s="25"/>
      <c r="E85" s="25"/>
    </row>
    <row r="86" ht="48.6" customHeight="1" spans="1:5">
      <c r="A86" s="26" t="s">
        <v>270</v>
      </c>
      <c r="B86" s="26" t="s">
        <v>0</v>
      </c>
      <c r="C86" s="26" t="s">
        <v>0</v>
      </c>
      <c r="D86" s="26" t="s">
        <v>0</v>
      </c>
      <c r="E86" s="26" t="s">
        <v>0</v>
      </c>
    </row>
    <row r="87" ht="180.6" customHeight="1"/>
    <row r="88" customHeight="1" spans="1:5">
      <c r="A88" s="22" t="s">
        <v>265</v>
      </c>
      <c r="B88" s="22" t="s">
        <v>0</v>
      </c>
      <c r="C88" s="22" t="s">
        <v>0</v>
      </c>
      <c r="D88" s="22" t="s">
        <v>0</v>
      </c>
      <c r="E88" s="22" t="s">
        <v>0</v>
      </c>
    </row>
    <row r="89" customHeight="1" spans="1:5">
      <c r="A89" s="23"/>
      <c r="B89" s="23"/>
      <c r="C89" s="23"/>
      <c r="D89" s="23"/>
      <c r="E89" s="15" t="s">
        <v>612</v>
      </c>
    </row>
    <row r="90" customHeight="1" spans="1:5">
      <c r="A90" s="16" t="s">
        <v>22</v>
      </c>
      <c r="B90" s="17" t="s">
        <v>548</v>
      </c>
      <c r="C90" s="17"/>
      <c r="D90" s="17"/>
      <c r="E90" s="16" t="s">
        <v>81</v>
      </c>
    </row>
    <row r="91" customHeight="1" spans="1:5">
      <c r="A91" s="16" t="s">
        <v>82</v>
      </c>
      <c r="B91" s="17" t="s">
        <v>613</v>
      </c>
      <c r="C91" s="17"/>
      <c r="D91" s="17"/>
      <c r="E91" s="17" t="str">
        <f>"工程数量："&amp;'[1]附表C-6营造林工程投资概算'!$D$15</f>
        <v>工程数量：111.11</v>
      </c>
    </row>
    <row r="92" customHeight="1" spans="1:5">
      <c r="A92" s="16" t="s">
        <v>84</v>
      </c>
      <c r="B92" s="18" t="s">
        <v>614</v>
      </c>
      <c r="C92" s="18"/>
      <c r="D92" s="18"/>
      <c r="E92" s="24"/>
    </row>
    <row r="93" customHeight="1" spans="1:5">
      <c r="A93" s="4" t="s">
        <v>28</v>
      </c>
      <c r="B93" s="4" t="s">
        <v>56</v>
      </c>
      <c r="C93" s="4" t="s">
        <v>267</v>
      </c>
      <c r="D93" s="4" t="s">
        <v>268</v>
      </c>
      <c r="E93" s="4" t="s">
        <v>35</v>
      </c>
    </row>
    <row r="94" customHeight="1" spans="1:5">
      <c r="A94" s="4" t="s">
        <v>68</v>
      </c>
      <c r="B94" s="6" t="s">
        <v>256</v>
      </c>
      <c r="C94" s="4" t="s">
        <v>269</v>
      </c>
      <c r="D94" s="9"/>
      <c r="E94" s="6" t="s">
        <v>8</v>
      </c>
    </row>
    <row r="95" customHeight="1" spans="1:5">
      <c r="A95" s="4" t="s">
        <v>0</v>
      </c>
      <c r="B95" s="6" t="s">
        <v>0</v>
      </c>
      <c r="C95" s="4" t="s">
        <v>0</v>
      </c>
      <c r="D95" s="9" t="s">
        <v>0</v>
      </c>
      <c r="E95" s="6" t="s">
        <v>0</v>
      </c>
    </row>
    <row r="96" customHeight="1" spans="1:5">
      <c r="A96" s="4" t="s">
        <v>0</v>
      </c>
      <c r="B96" s="6" t="s">
        <v>0</v>
      </c>
      <c r="C96" s="4" t="s">
        <v>0</v>
      </c>
      <c r="D96" s="9" t="s">
        <v>0</v>
      </c>
      <c r="E96" s="6" t="s">
        <v>0</v>
      </c>
    </row>
    <row r="97" customHeight="1" spans="1:5">
      <c r="A97" s="4" t="s">
        <v>0</v>
      </c>
      <c r="B97" s="6" t="s">
        <v>0</v>
      </c>
      <c r="C97" s="4" t="s">
        <v>0</v>
      </c>
      <c r="D97" s="9" t="s">
        <v>0</v>
      </c>
      <c r="E97" s="6" t="s">
        <v>0</v>
      </c>
    </row>
    <row r="98" customHeight="1" spans="1:5">
      <c r="A98" s="4" t="s">
        <v>0</v>
      </c>
      <c r="B98" s="6" t="s">
        <v>0</v>
      </c>
      <c r="C98" s="4" t="s">
        <v>0</v>
      </c>
      <c r="D98" s="9" t="s">
        <v>0</v>
      </c>
      <c r="E98" s="6" t="s">
        <v>0</v>
      </c>
    </row>
    <row r="99" customHeight="1" spans="1:5">
      <c r="A99" s="4" t="s">
        <v>0</v>
      </c>
      <c r="B99" s="6" t="s">
        <v>0</v>
      </c>
      <c r="C99" s="4" t="s">
        <v>0</v>
      </c>
      <c r="D99" s="9" t="s">
        <v>0</v>
      </c>
      <c r="E99" s="6" t="s">
        <v>0</v>
      </c>
    </row>
    <row r="100" customHeight="1" spans="1:5">
      <c r="A100" s="4" t="s">
        <v>0</v>
      </c>
      <c r="B100" s="6" t="s">
        <v>0</v>
      </c>
      <c r="C100" s="4" t="s">
        <v>0</v>
      </c>
      <c r="D100" s="9" t="s">
        <v>0</v>
      </c>
      <c r="E100" s="6" t="s">
        <v>0</v>
      </c>
    </row>
    <row r="101" customHeight="1" spans="1:5">
      <c r="A101" s="4" t="s">
        <v>0</v>
      </c>
      <c r="B101" s="6" t="s">
        <v>0</v>
      </c>
      <c r="C101" s="4" t="s">
        <v>0</v>
      </c>
      <c r="D101" s="9" t="s">
        <v>0</v>
      </c>
      <c r="E101" s="6" t="s">
        <v>0</v>
      </c>
    </row>
    <row r="102" customHeight="1" spans="1:5">
      <c r="A102" s="4" t="s">
        <v>0</v>
      </c>
      <c r="B102" s="6" t="s">
        <v>0</v>
      </c>
      <c r="C102" s="4" t="s">
        <v>0</v>
      </c>
      <c r="D102" s="9" t="s">
        <v>0</v>
      </c>
      <c r="E102" s="6" t="s">
        <v>0</v>
      </c>
    </row>
    <row r="103" customHeight="1" spans="1:5">
      <c r="A103" s="4" t="s">
        <v>0</v>
      </c>
      <c r="B103" s="6" t="s">
        <v>0</v>
      </c>
      <c r="C103" s="4" t="s">
        <v>0</v>
      </c>
      <c r="D103" s="9" t="s">
        <v>0</v>
      </c>
      <c r="E103" s="6" t="s">
        <v>0</v>
      </c>
    </row>
    <row r="104" customHeight="1" spans="1:5">
      <c r="A104" s="4" t="s">
        <v>0</v>
      </c>
      <c r="B104" s="6" t="s">
        <v>0</v>
      </c>
      <c r="C104" s="4" t="s">
        <v>0</v>
      </c>
      <c r="D104" s="9" t="s">
        <v>0</v>
      </c>
      <c r="E104" s="6" t="s">
        <v>0</v>
      </c>
    </row>
    <row r="105" customHeight="1" spans="1:5">
      <c r="A105" s="4" t="s">
        <v>0</v>
      </c>
      <c r="B105" s="6" t="s">
        <v>0</v>
      </c>
      <c r="C105" s="4" t="s">
        <v>0</v>
      </c>
      <c r="D105" s="9" t="s">
        <v>0</v>
      </c>
      <c r="E105" s="6" t="s">
        <v>0</v>
      </c>
    </row>
    <row r="106" customHeight="1" spans="1:5">
      <c r="A106" s="4" t="s">
        <v>0</v>
      </c>
      <c r="B106" s="6" t="s">
        <v>0</v>
      </c>
      <c r="C106" s="4" t="s">
        <v>0</v>
      </c>
      <c r="D106" s="9" t="s">
        <v>0</v>
      </c>
      <c r="E106" s="6" t="s">
        <v>0</v>
      </c>
    </row>
    <row r="107" customHeight="1" spans="1:5">
      <c r="A107" s="4" t="s">
        <v>0</v>
      </c>
      <c r="B107" s="6" t="s">
        <v>0</v>
      </c>
      <c r="C107" s="4" t="s">
        <v>0</v>
      </c>
      <c r="D107" s="9" t="s">
        <v>0</v>
      </c>
      <c r="E107" s="6" t="s">
        <v>0</v>
      </c>
    </row>
    <row r="108" customHeight="1" spans="1:5">
      <c r="A108" s="4" t="s">
        <v>0</v>
      </c>
      <c r="B108" s="6" t="s">
        <v>0</v>
      </c>
      <c r="C108" s="4" t="s">
        <v>0</v>
      </c>
      <c r="D108" s="9" t="s">
        <v>0</v>
      </c>
      <c r="E108" s="6" t="s">
        <v>0</v>
      </c>
    </row>
    <row r="109" customHeight="1" spans="1:5">
      <c r="A109" s="4" t="s">
        <v>0</v>
      </c>
      <c r="B109" s="6" t="s">
        <v>0</v>
      </c>
      <c r="C109" s="4" t="s">
        <v>0</v>
      </c>
      <c r="D109" s="9" t="s">
        <v>0</v>
      </c>
      <c r="E109" s="6" t="s">
        <v>0</v>
      </c>
    </row>
    <row r="110" customHeight="1" spans="1:5">
      <c r="A110" s="4" t="s">
        <v>0</v>
      </c>
      <c r="B110" s="6" t="s">
        <v>0</v>
      </c>
      <c r="C110" s="4" t="s">
        <v>0</v>
      </c>
      <c r="D110" s="9" t="s">
        <v>0</v>
      </c>
      <c r="E110" s="6" t="s">
        <v>0</v>
      </c>
    </row>
    <row r="111" customHeight="1" spans="1:5">
      <c r="A111" s="4" t="s">
        <v>0</v>
      </c>
      <c r="B111" s="6" t="s">
        <v>0</v>
      </c>
      <c r="C111" s="4" t="s">
        <v>0</v>
      </c>
      <c r="D111" s="9" t="s">
        <v>0</v>
      </c>
      <c r="E111" s="6" t="s">
        <v>0</v>
      </c>
    </row>
    <row r="112" customHeight="1" spans="1:5">
      <c r="A112" s="4" t="s">
        <v>0</v>
      </c>
      <c r="B112" s="6" t="s">
        <v>0</v>
      </c>
      <c r="C112" s="4" t="s">
        <v>0</v>
      </c>
      <c r="D112" s="9" t="s">
        <v>0</v>
      </c>
      <c r="E112" s="6" t="s">
        <v>0</v>
      </c>
    </row>
    <row r="113" customHeight="1" spans="1:5">
      <c r="A113" s="4" t="s">
        <v>76</v>
      </c>
      <c r="B113" s="4" t="s">
        <v>0</v>
      </c>
      <c r="C113" s="4" t="s">
        <v>0</v>
      </c>
      <c r="D113" s="4">
        <f>SUM(D94:D112)</f>
        <v>0</v>
      </c>
      <c r="E113" s="4" t="s">
        <v>260</v>
      </c>
    </row>
    <row r="114" customHeight="1" spans="1:5">
      <c r="A114" s="25"/>
      <c r="B114" s="25"/>
      <c r="C114" s="25"/>
      <c r="D114" s="25"/>
      <c r="E114" s="25"/>
    </row>
    <row r="115" ht="42.6" customHeight="1" spans="1:5">
      <c r="A115" s="26" t="s">
        <v>270</v>
      </c>
      <c r="B115" s="26" t="s">
        <v>0</v>
      </c>
      <c r="C115" s="26" t="s">
        <v>0</v>
      </c>
      <c r="D115" s="26" t="s">
        <v>0</v>
      </c>
      <c r="E115" s="26" t="s">
        <v>0</v>
      </c>
    </row>
    <row r="116" ht="180.6" customHeight="1"/>
    <row r="117" customHeight="1" spans="1:5">
      <c r="A117" s="22" t="s">
        <v>265</v>
      </c>
      <c r="B117" s="22" t="s">
        <v>0</v>
      </c>
      <c r="C117" s="22" t="s">
        <v>0</v>
      </c>
      <c r="D117" s="22" t="s">
        <v>0</v>
      </c>
      <c r="E117" s="22" t="s">
        <v>0</v>
      </c>
    </row>
    <row r="118" customHeight="1" spans="1:5">
      <c r="A118" s="23"/>
      <c r="B118" s="23"/>
      <c r="C118" s="23"/>
      <c r="D118" s="23"/>
      <c r="E118" s="15" t="s">
        <v>615</v>
      </c>
    </row>
    <row r="119" customHeight="1" spans="1:5">
      <c r="A119" s="16" t="s">
        <v>22</v>
      </c>
      <c r="B119" s="17" t="s">
        <v>548</v>
      </c>
      <c r="C119" s="17"/>
      <c r="D119" s="17"/>
      <c r="E119" s="16" t="s">
        <v>81</v>
      </c>
    </row>
    <row r="120" customHeight="1" spans="1:5">
      <c r="A120" s="16" t="s">
        <v>82</v>
      </c>
      <c r="B120" s="17" t="s">
        <v>616</v>
      </c>
      <c r="C120" s="17"/>
      <c r="D120" s="17"/>
      <c r="E120" s="17" t="str">
        <f>"工程数量："&amp;'[1]附表C-6营造林工程投资概算'!$D$16</f>
        <v>工程数量：224.18</v>
      </c>
    </row>
    <row r="121" customHeight="1" spans="1:5">
      <c r="A121" s="16" t="s">
        <v>84</v>
      </c>
      <c r="B121" s="18" t="s">
        <v>617</v>
      </c>
      <c r="C121" s="18"/>
      <c r="D121" s="18"/>
      <c r="E121" s="24"/>
    </row>
    <row r="122" customHeight="1" spans="1:5">
      <c r="A122" s="4" t="s">
        <v>28</v>
      </c>
      <c r="B122" s="4" t="s">
        <v>56</v>
      </c>
      <c r="C122" s="4" t="s">
        <v>267</v>
      </c>
      <c r="D122" s="4" t="s">
        <v>268</v>
      </c>
      <c r="E122" s="4" t="s">
        <v>35</v>
      </c>
    </row>
    <row r="123" customHeight="1" spans="1:5">
      <c r="A123" s="4" t="s">
        <v>68</v>
      </c>
      <c r="B123" s="6" t="s">
        <v>256</v>
      </c>
      <c r="C123" s="4" t="s">
        <v>269</v>
      </c>
      <c r="D123" s="9"/>
      <c r="E123" s="6" t="s">
        <v>8</v>
      </c>
    </row>
    <row r="124" customHeight="1" spans="1:5">
      <c r="A124" s="4" t="s">
        <v>0</v>
      </c>
      <c r="B124" s="6" t="s">
        <v>0</v>
      </c>
      <c r="C124" s="4" t="s">
        <v>0</v>
      </c>
      <c r="D124" s="9" t="s">
        <v>0</v>
      </c>
      <c r="E124" s="6" t="s">
        <v>0</v>
      </c>
    </row>
    <row r="125" customHeight="1" spans="1:5">
      <c r="A125" s="4" t="s">
        <v>0</v>
      </c>
      <c r="B125" s="6" t="s">
        <v>0</v>
      </c>
      <c r="C125" s="4" t="s">
        <v>0</v>
      </c>
      <c r="D125" s="9" t="s">
        <v>0</v>
      </c>
      <c r="E125" s="6" t="s">
        <v>0</v>
      </c>
    </row>
    <row r="126" customHeight="1" spans="1:5">
      <c r="A126" s="4" t="s">
        <v>0</v>
      </c>
      <c r="B126" s="6" t="s">
        <v>0</v>
      </c>
      <c r="C126" s="4" t="s">
        <v>0</v>
      </c>
      <c r="D126" s="9" t="s">
        <v>0</v>
      </c>
      <c r="E126" s="6" t="s">
        <v>0</v>
      </c>
    </row>
    <row r="127" customHeight="1" spans="1:5">
      <c r="A127" s="4" t="s">
        <v>0</v>
      </c>
      <c r="B127" s="6" t="s">
        <v>0</v>
      </c>
      <c r="C127" s="4" t="s">
        <v>0</v>
      </c>
      <c r="D127" s="9" t="s">
        <v>0</v>
      </c>
      <c r="E127" s="6" t="s">
        <v>0</v>
      </c>
    </row>
    <row r="128" customHeight="1" spans="1:5">
      <c r="A128" s="4" t="s">
        <v>0</v>
      </c>
      <c r="B128" s="6" t="s">
        <v>0</v>
      </c>
      <c r="C128" s="4" t="s">
        <v>0</v>
      </c>
      <c r="D128" s="9" t="s">
        <v>0</v>
      </c>
      <c r="E128" s="6" t="s">
        <v>0</v>
      </c>
    </row>
    <row r="129" customHeight="1" spans="1:5">
      <c r="A129" s="4" t="s">
        <v>0</v>
      </c>
      <c r="B129" s="6" t="s">
        <v>0</v>
      </c>
      <c r="C129" s="4" t="s">
        <v>0</v>
      </c>
      <c r="D129" s="9" t="s">
        <v>0</v>
      </c>
      <c r="E129" s="6" t="s">
        <v>0</v>
      </c>
    </row>
    <row r="130" customHeight="1" spans="1:5">
      <c r="A130" s="4" t="s">
        <v>0</v>
      </c>
      <c r="B130" s="6" t="s">
        <v>0</v>
      </c>
      <c r="C130" s="4" t="s">
        <v>0</v>
      </c>
      <c r="D130" s="9" t="s">
        <v>0</v>
      </c>
      <c r="E130" s="6" t="s">
        <v>0</v>
      </c>
    </row>
    <row r="131" customHeight="1" spans="1:5">
      <c r="A131" s="4" t="s">
        <v>0</v>
      </c>
      <c r="B131" s="6" t="s">
        <v>0</v>
      </c>
      <c r="C131" s="4" t="s">
        <v>0</v>
      </c>
      <c r="D131" s="9" t="s">
        <v>0</v>
      </c>
      <c r="E131" s="6" t="s">
        <v>0</v>
      </c>
    </row>
    <row r="132" customHeight="1" spans="1:5">
      <c r="A132" s="4" t="s">
        <v>0</v>
      </c>
      <c r="B132" s="6" t="s">
        <v>0</v>
      </c>
      <c r="C132" s="4" t="s">
        <v>0</v>
      </c>
      <c r="D132" s="9" t="s">
        <v>0</v>
      </c>
      <c r="E132" s="6" t="s">
        <v>0</v>
      </c>
    </row>
    <row r="133" customHeight="1" spans="1:5">
      <c r="A133" s="4" t="s">
        <v>0</v>
      </c>
      <c r="B133" s="6" t="s">
        <v>0</v>
      </c>
      <c r="C133" s="4" t="s">
        <v>0</v>
      </c>
      <c r="D133" s="9" t="s">
        <v>0</v>
      </c>
      <c r="E133" s="6" t="s">
        <v>0</v>
      </c>
    </row>
    <row r="134" customHeight="1" spans="1:5">
      <c r="A134" s="4" t="s">
        <v>0</v>
      </c>
      <c r="B134" s="6" t="s">
        <v>0</v>
      </c>
      <c r="C134" s="4" t="s">
        <v>0</v>
      </c>
      <c r="D134" s="9" t="s">
        <v>0</v>
      </c>
      <c r="E134" s="6" t="s">
        <v>0</v>
      </c>
    </row>
    <row r="135" customHeight="1" spans="1:5">
      <c r="A135" s="4" t="s">
        <v>0</v>
      </c>
      <c r="B135" s="6" t="s">
        <v>0</v>
      </c>
      <c r="C135" s="4" t="s">
        <v>0</v>
      </c>
      <c r="D135" s="9" t="s">
        <v>0</v>
      </c>
      <c r="E135" s="6" t="s">
        <v>0</v>
      </c>
    </row>
    <row r="136" customHeight="1" spans="1:5">
      <c r="A136" s="4" t="s">
        <v>0</v>
      </c>
      <c r="B136" s="6" t="s">
        <v>0</v>
      </c>
      <c r="C136" s="4" t="s">
        <v>0</v>
      </c>
      <c r="D136" s="9" t="s">
        <v>0</v>
      </c>
      <c r="E136" s="6" t="s">
        <v>0</v>
      </c>
    </row>
    <row r="137" customHeight="1" spans="1:5">
      <c r="A137" s="4" t="s">
        <v>0</v>
      </c>
      <c r="B137" s="6" t="s">
        <v>0</v>
      </c>
      <c r="C137" s="4" t="s">
        <v>0</v>
      </c>
      <c r="D137" s="9" t="s">
        <v>0</v>
      </c>
      <c r="E137" s="6" t="s">
        <v>0</v>
      </c>
    </row>
    <row r="138" customHeight="1" spans="1:5">
      <c r="A138" s="4" t="s">
        <v>0</v>
      </c>
      <c r="B138" s="6" t="s">
        <v>0</v>
      </c>
      <c r="C138" s="4" t="s">
        <v>0</v>
      </c>
      <c r="D138" s="9" t="s">
        <v>0</v>
      </c>
      <c r="E138" s="6" t="s">
        <v>0</v>
      </c>
    </row>
    <row r="139" customHeight="1" spans="1:5">
      <c r="A139" s="4" t="s">
        <v>0</v>
      </c>
      <c r="B139" s="6" t="s">
        <v>0</v>
      </c>
      <c r="C139" s="4" t="s">
        <v>0</v>
      </c>
      <c r="D139" s="9" t="s">
        <v>0</v>
      </c>
      <c r="E139" s="6" t="s">
        <v>0</v>
      </c>
    </row>
    <row r="140" customHeight="1" spans="1:5">
      <c r="A140" s="4" t="s">
        <v>0</v>
      </c>
      <c r="B140" s="6" t="s">
        <v>0</v>
      </c>
      <c r="C140" s="4" t="s">
        <v>0</v>
      </c>
      <c r="D140" s="9" t="s">
        <v>0</v>
      </c>
      <c r="E140" s="6" t="s">
        <v>0</v>
      </c>
    </row>
    <row r="141" customHeight="1" spans="1:5">
      <c r="A141" s="4" t="s">
        <v>0</v>
      </c>
      <c r="B141" s="6" t="s">
        <v>0</v>
      </c>
      <c r="C141" s="4" t="s">
        <v>0</v>
      </c>
      <c r="D141" s="9" t="s">
        <v>0</v>
      </c>
      <c r="E141" s="6" t="s">
        <v>0</v>
      </c>
    </row>
    <row r="142" customHeight="1" spans="1:5">
      <c r="A142" s="4" t="s">
        <v>76</v>
      </c>
      <c r="B142" s="4" t="s">
        <v>0</v>
      </c>
      <c r="C142" s="4" t="s">
        <v>0</v>
      </c>
      <c r="D142" s="4">
        <f>SUM(D123:D141)</f>
        <v>0</v>
      </c>
      <c r="E142" s="4" t="s">
        <v>260</v>
      </c>
    </row>
    <row r="143" customHeight="1" spans="1:5">
      <c r="A143" s="25"/>
      <c r="B143" s="25"/>
      <c r="C143" s="25"/>
      <c r="D143" s="25"/>
      <c r="E143" s="25"/>
    </row>
    <row r="144" ht="48.6" customHeight="1" spans="1:5">
      <c r="A144" s="26" t="s">
        <v>270</v>
      </c>
      <c r="B144" s="26" t="s">
        <v>0</v>
      </c>
      <c r="C144" s="26" t="s">
        <v>0</v>
      </c>
      <c r="D144" s="26" t="s">
        <v>0</v>
      </c>
      <c r="E144" s="26" t="s">
        <v>0</v>
      </c>
    </row>
  </sheetData>
  <mergeCells count="35">
    <mergeCell ref="A1:E1"/>
    <mergeCell ref="C2:D2"/>
    <mergeCell ref="B3:D3"/>
    <mergeCell ref="B4:D4"/>
    <mergeCell ref="B5:D5"/>
    <mergeCell ref="A26:C26"/>
    <mergeCell ref="A28:E28"/>
    <mergeCell ref="A30:E30"/>
    <mergeCell ref="C31:D31"/>
    <mergeCell ref="B32:D32"/>
    <mergeCell ref="B33:D33"/>
    <mergeCell ref="B34:D34"/>
    <mergeCell ref="A55:C55"/>
    <mergeCell ref="A57:E57"/>
    <mergeCell ref="A59:E59"/>
    <mergeCell ref="C60:D60"/>
    <mergeCell ref="B61:D61"/>
    <mergeCell ref="B62:D62"/>
    <mergeCell ref="B63:D63"/>
    <mergeCell ref="A84:C84"/>
    <mergeCell ref="A86:E86"/>
    <mergeCell ref="A88:E88"/>
    <mergeCell ref="C89:D89"/>
    <mergeCell ref="B90:D90"/>
    <mergeCell ref="B91:D91"/>
    <mergeCell ref="B92:D92"/>
    <mergeCell ref="A113:C113"/>
    <mergeCell ref="A115:E115"/>
    <mergeCell ref="A117:E117"/>
    <mergeCell ref="C118:D118"/>
    <mergeCell ref="B119:D119"/>
    <mergeCell ref="B120:D120"/>
    <mergeCell ref="B121:D121"/>
    <mergeCell ref="A142:C142"/>
    <mergeCell ref="A144:E14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59"/>
  <sheetViews>
    <sheetView showZeros="0" topLeftCell="A50" workbookViewId="0">
      <selection activeCell="F55" sqref="F7 F19 F31 F43 F55"/>
    </sheetView>
  </sheetViews>
  <sheetFormatPr defaultColWidth="8.88888888888889" defaultRowHeight="40.05" customHeight="1" outlineLevelCol="6"/>
  <cols>
    <col min="1" max="1" width="8.88888888888889" style="1"/>
    <col min="2" max="2" width="13.787037037037" style="1" customWidth="1"/>
    <col min="3" max="3" width="64.787037037037" style="1" customWidth="1"/>
    <col min="4" max="4" width="14.212962962963" style="1" customWidth="1"/>
    <col min="5" max="5" width="15.212962962963" style="1" customWidth="1"/>
    <col min="6" max="6" width="13.4444444444444" style="1" customWidth="1"/>
    <col min="7" max="7" width="11.5" style="1"/>
    <col min="8" max="16384" width="8.88888888888889" style="1"/>
  </cols>
  <sheetData>
    <row r="1" customHeight="1" spans="1:6">
      <c r="A1" s="14" t="s">
        <v>274</v>
      </c>
      <c r="B1" s="14"/>
      <c r="C1" s="14"/>
      <c r="D1" s="14"/>
      <c r="E1" s="14"/>
      <c r="F1" s="15" t="s">
        <v>606</v>
      </c>
    </row>
    <row r="2" customHeight="1" spans="1:6">
      <c r="A2" s="16" t="s">
        <v>22</v>
      </c>
      <c r="B2" s="17" t="s">
        <v>548</v>
      </c>
      <c r="C2" s="17"/>
      <c r="D2" s="17"/>
      <c r="E2" s="17" t="s">
        <v>81</v>
      </c>
      <c r="F2" s="17" t="s">
        <v>0</v>
      </c>
    </row>
    <row r="3" customHeight="1" spans="1:6">
      <c r="A3" s="16" t="s">
        <v>82</v>
      </c>
      <c r="B3" s="17" t="s">
        <v>449</v>
      </c>
      <c r="C3" s="17"/>
      <c r="D3" s="17"/>
      <c r="E3" s="17" t="str">
        <f>"工程数量："&amp;'[1]附表C-6营造林工程投资概算'!$D$12</f>
        <v>工程数量：1326.2</v>
      </c>
      <c r="F3" s="17" t="s">
        <v>0</v>
      </c>
    </row>
    <row r="4" customHeight="1" spans="1:6">
      <c r="A4" s="16" t="s">
        <v>84</v>
      </c>
      <c r="B4" s="18" t="s">
        <v>618</v>
      </c>
      <c r="C4" s="18"/>
      <c r="D4" s="18"/>
      <c r="E4" s="16" t="s">
        <v>0</v>
      </c>
      <c r="F4" s="16" t="s">
        <v>0</v>
      </c>
    </row>
    <row r="5" customHeight="1" spans="1:6">
      <c r="A5" s="4" t="s">
        <v>28</v>
      </c>
      <c r="B5" s="4" t="s">
        <v>56</v>
      </c>
      <c r="C5" s="4" t="s">
        <v>194</v>
      </c>
      <c r="D5" s="4" t="s">
        <v>195</v>
      </c>
      <c r="E5" s="4" t="s">
        <v>275</v>
      </c>
      <c r="F5" s="4" t="s">
        <v>276</v>
      </c>
    </row>
    <row r="6" customHeight="1" spans="1:6">
      <c r="A6" s="4" t="s">
        <v>68</v>
      </c>
      <c r="B6" s="6" t="s">
        <v>277</v>
      </c>
      <c r="C6" s="4" t="s">
        <v>278</v>
      </c>
      <c r="D6" s="19">
        <f>'D3-3 分部分项工程量清单综合单价计算表(分页不带材料)~3'!F15*0.3</f>
        <v>405538.808442</v>
      </c>
      <c r="E6" s="4">
        <v>4.8</v>
      </c>
      <c r="F6" s="4">
        <f>ROUND(D6*E6/100,2)</f>
        <v>19465.86</v>
      </c>
    </row>
    <row r="7" customHeight="1" spans="1:7">
      <c r="A7" s="4" t="s">
        <v>71</v>
      </c>
      <c r="B7" s="6" t="s">
        <v>279</v>
      </c>
      <c r="C7" s="4" t="s">
        <v>280</v>
      </c>
      <c r="D7" s="20">
        <f>'D3-3 分部分项工程量清单综合单价计算表(分页不带材料)~3'!K15+'E.1分部分项工程总价措施项目清单计价表-GP型'!I18+'F1.1暂列金额明细表（GP型）'!D26+'G.1规费、税金项目清单计价表-GP型'!F6</f>
        <v>1497519.61814</v>
      </c>
      <c r="E7" s="4">
        <v>3</v>
      </c>
      <c r="F7" s="4">
        <f>ROUND(D7*E7/100,2)</f>
        <v>44925.59</v>
      </c>
      <c r="G7" s="1">
        <f>1810290.05+F6</f>
        <v>1829755.91</v>
      </c>
    </row>
    <row r="8" customHeight="1" spans="1:6">
      <c r="A8" s="4">
        <v>3</v>
      </c>
      <c r="B8" s="6" t="s">
        <v>281</v>
      </c>
      <c r="C8" s="4" t="s">
        <v>280</v>
      </c>
      <c r="D8" s="21">
        <f>D7</f>
        <v>1497519.61814</v>
      </c>
      <c r="E8" s="4"/>
      <c r="F8" s="4">
        <f>ROUND(D8*E8/100,2)</f>
        <v>0</v>
      </c>
    </row>
    <row r="9" customHeight="1" spans="1:6">
      <c r="A9" s="4" t="s">
        <v>0</v>
      </c>
      <c r="B9" s="6" t="s">
        <v>0</v>
      </c>
      <c r="C9" s="4" t="s">
        <v>0</v>
      </c>
      <c r="D9" s="9" t="s">
        <v>0</v>
      </c>
      <c r="E9" s="4" t="s">
        <v>0</v>
      </c>
      <c r="F9" s="4"/>
    </row>
    <row r="10" customHeight="1" spans="1:6">
      <c r="A10" s="4" t="s">
        <v>0</v>
      </c>
      <c r="B10" s="6" t="s">
        <v>0</v>
      </c>
      <c r="C10" s="4" t="s">
        <v>0</v>
      </c>
      <c r="D10" s="9" t="s">
        <v>0</v>
      </c>
      <c r="E10" s="4" t="s">
        <v>0</v>
      </c>
      <c r="F10" s="4"/>
    </row>
    <row r="11" customHeight="1" spans="1:6">
      <c r="A11" s="4" t="s">
        <v>106</v>
      </c>
      <c r="B11" s="4" t="s">
        <v>0</v>
      </c>
      <c r="C11" s="4" t="s">
        <v>0</v>
      </c>
      <c r="D11" s="4" t="s">
        <v>0</v>
      </c>
      <c r="E11" s="4" t="s">
        <v>0</v>
      </c>
      <c r="F11" s="9">
        <f>SUM(F6:F10)</f>
        <v>64391.45</v>
      </c>
    </row>
    <row r="13" customHeight="1" spans="1:6">
      <c r="A13" s="14" t="s">
        <v>274</v>
      </c>
      <c r="B13" s="14"/>
      <c r="C13" s="14"/>
      <c r="D13" s="14"/>
      <c r="E13" s="14"/>
      <c r="F13" s="15" t="s">
        <v>608</v>
      </c>
    </row>
    <row r="14" customHeight="1" spans="1:6">
      <c r="A14" s="16" t="s">
        <v>22</v>
      </c>
      <c r="B14" s="17" t="s">
        <v>548</v>
      </c>
      <c r="C14" s="17"/>
      <c r="D14" s="17"/>
      <c r="E14" s="17" t="s">
        <v>81</v>
      </c>
      <c r="F14" s="17" t="s">
        <v>0</v>
      </c>
    </row>
    <row r="15" customHeight="1" spans="1:6">
      <c r="A15" s="16" t="s">
        <v>82</v>
      </c>
      <c r="B15" s="17" t="s">
        <v>460</v>
      </c>
      <c r="C15" s="17"/>
      <c r="D15" s="17"/>
      <c r="E15" s="17" t="str">
        <f>"工程数量："&amp;'[1]附表C-6营造林工程投资概算'!$D$13</f>
        <v>工程数量：2052.76</v>
      </c>
      <c r="F15" s="17" t="s">
        <v>0</v>
      </c>
    </row>
    <row r="16" customHeight="1" spans="1:6">
      <c r="A16" s="16" t="s">
        <v>84</v>
      </c>
      <c r="B16" s="18" t="s">
        <v>619</v>
      </c>
      <c r="C16" s="18"/>
      <c r="D16" s="18"/>
      <c r="E16" s="16" t="s">
        <v>0</v>
      </c>
      <c r="F16" s="16" t="s">
        <v>0</v>
      </c>
    </row>
    <row r="17" customHeight="1" spans="1:6">
      <c r="A17" s="4" t="s">
        <v>28</v>
      </c>
      <c r="B17" s="4" t="s">
        <v>56</v>
      </c>
      <c r="C17" s="4" t="s">
        <v>194</v>
      </c>
      <c r="D17" s="4" t="s">
        <v>195</v>
      </c>
      <c r="E17" s="4" t="s">
        <v>275</v>
      </c>
      <c r="F17" s="4" t="s">
        <v>276</v>
      </c>
    </row>
    <row r="18" customHeight="1" spans="1:6">
      <c r="A18" s="4" t="s">
        <v>68</v>
      </c>
      <c r="B18" s="6" t="s">
        <v>277</v>
      </c>
      <c r="C18" s="4" t="s">
        <v>278</v>
      </c>
      <c r="D18" s="19">
        <f>'D3-3 分部分项工程量清单综合单价计算表(分页不带材料)~3'!F32*0.3</f>
        <v>563472.052008</v>
      </c>
      <c r="E18" s="4">
        <v>4.8</v>
      </c>
      <c r="F18" s="4">
        <f>ROUND(D18*E18/100,2)</f>
        <v>27046.66</v>
      </c>
    </row>
    <row r="19" customHeight="1" spans="1:6">
      <c r="A19" s="4" t="s">
        <v>71</v>
      </c>
      <c r="B19" s="6" t="s">
        <v>279</v>
      </c>
      <c r="C19" s="4" t="s">
        <v>280</v>
      </c>
      <c r="D19" s="21">
        <f>'D3-3 分部分项工程量清单综合单价计算表(分页不带材料)~3'!K32+'E.1分部分项工程总价措施项目清单计价表-GP型'!I38+'F1.1暂列金额明细表（GP型）'!D55+'G.1规费、税金项目清单计价表-GP型'!F18</f>
        <v>2080714.45336</v>
      </c>
      <c r="E19" s="4">
        <v>3</v>
      </c>
      <c r="F19" s="4">
        <f>ROUND(D19*E19/100,2)</f>
        <v>62421.43</v>
      </c>
    </row>
    <row r="20" customHeight="1" spans="1:6">
      <c r="A20" s="4">
        <v>3</v>
      </c>
      <c r="B20" s="6" t="s">
        <v>281</v>
      </c>
      <c r="C20" s="4" t="s">
        <v>280</v>
      </c>
      <c r="D20" s="21">
        <f>D19</f>
        <v>2080714.45336</v>
      </c>
      <c r="E20" s="4"/>
      <c r="F20" s="4">
        <f>ROUND(D20*E20/100,2)</f>
        <v>0</v>
      </c>
    </row>
    <row r="21" customHeight="1" spans="1:6">
      <c r="A21" s="4" t="s">
        <v>0</v>
      </c>
      <c r="B21" s="6" t="s">
        <v>0</v>
      </c>
      <c r="C21" s="4" t="s">
        <v>0</v>
      </c>
      <c r="D21" s="9" t="s">
        <v>0</v>
      </c>
      <c r="E21" s="4" t="s">
        <v>0</v>
      </c>
      <c r="F21" s="4"/>
    </row>
    <row r="22" customHeight="1" spans="1:6">
      <c r="A22" s="4" t="s">
        <v>0</v>
      </c>
      <c r="B22" s="6" t="s">
        <v>0</v>
      </c>
      <c r="C22" s="4" t="s">
        <v>0</v>
      </c>
      <c r="D22" s="9" t="s">
        <v>0</v>
      </c>
      <c r="E22" s="4" t="s">
        <v>0</v>
      </c>
      <c r="F22" s="4"/>
    </row>
    <row r="23" customHeight="1" spans="1:6">
      <c r="A23" s="4" t="s">
        <v>106</v>
      </c>
      <c r="B23" s="4" t="s">
        <v>0</v>
      </c>
      <c r="C23" s="4" t="s">
        <v>0</v>
      </c>
      <c r="D23" s="4" t="s">
        <v>0</v>
      </c>
      <c r="E23" s="4" t="s">
        <v>0</v>
      </c>
      <c r="F23" s="9">
        <f>SUM(F18:F22)</f>
        <v>89468.09</v>
      </c>
    </row>
    <row r="25" customHeight="1" spans="1:6">
      <c r="A25" s="14" t="s">
        <v>274</v>
      </c>
      <c r="B25" s="14"/>
      <c r="C25" s="14"/>
      <c r="D25" s="14"/>
      <c r="E25" s="14"/>
      <c r="F25" s="15" t="s">
        <v>610</v>
      </c>
    </row>
    <row r="26" customHeight="1" spans="1:6">
      <c r="A26" s="16" t="s">
        <v>22</v>
      </c>
      <c r="B26" s="17" t="s">
        <v>548</v>
      </c>
      <c r="C26" s="17"/>
      <c r="D26" s="17"/>
      <c r="E26" s="17" t="s">
        <v>81</v>
      </c>
      <c r="F26" s="17" t="s">
        <v>0</v>
      </c>
    </row>
    <row r="27" customHeight="1" spans="1:6">
      <c r="A27" s="16" t="s">
        <v>82</v>
      </c>
      <c r="B27" s="17" t="s">
        <v>470</v>
      </c>
      <c r="C27" s="17"/>
      <c r="D27" s="17"/>
      <c r="E27" s="17" t="str">
        <f>"工程数量："&amp;'[1]附表C-6营造林工程投资概算'!$D$14</f>
        <v>工程数量：59.45</v>
      </c>
      <c r="F27" s="17" t="s">
        <v>0</v>
      </c>
    </row>
    <row r="28" customHeight="1" spans="1:6">
      <c r="A28" s="16" t="s">
        <v>84</v>
      </c>
      <c r="B28" s="18" t="s">
        <v>620</v>
      </c>
      <c r="C28" s="18"/>
      <c r="D28" s="18"/>
      <c r="E28" s="16" t="s">
        <v>0</v>
      </c>
      <c r="F28" s="16" t="s">
        <v>0</v>
      </c>
    </row>
    <row r="29" customHeight="1" spans="1:6">
      <c r="A29" s="4" t="s">
        <v>28</v>
      </c>
      <c r="B29" s="4" t="s">
        <v>56</v>
      </c>
      <c r="C29" s="4" t="s">
        <v>194</v>
      </c>
      <c r="D29" s="4" t="s">
        <v>195</v>
      </c>
      <c r="E29" s="4" t="s">
        <v>275</v>
      </c>
      <c r="F29" s="4" t="s">
        <v>276</v>
      </c>
    </row>
    <row r="30" customHeight="1" spans="1:6">
      <c r="A30" s="4" t="s">
        <v>68</v>
      </c>
      <c r="B30" s="6" t="s">
        <v>277</v>
      </c>
      <c r="C30" s="4" t="s">
        <v>278</v>
      </c>
      <c r="D30" s="19">
        <f>'D3-3 分部分项工程量清单综合单价计算表(分页不带材料)~3'!F51*0.3</f>
        <v>18179.219535</v>
      </c>
      <c r="E30" s="4">
        <v>4.8</v>
      </c>
      <c r="F30" s="4">
        <f>ROUND(D30*E30/100,2)</f>
        <v>872.6</v>
      </c>
    </row>
    <row r="31" customHeight="1" spans="1:6">
      <c r="A31" s="4" t="s">
        <v>71</v>
      </c>
      <c r="B31" s="6" t="s">
        <v>279</v>
      </c>
      <c r="C31" s="4" t="s">
        <v>280</v>
      </c>
      <c r="D31" s="21">
        <f>'D3-3 分部分项工程量清单综合单价计算表(分页不带材料)~3'!K51+'E.1分部分项工程总价措施项目清单计价表-GP型'!I58+'F1.1暂列金额明细表（GP型）'!D84+F30</f>
        <v>67129.79845</v>
      </c>
      <c r="E31" s="4">
        <v>3</v>
      </c>
      <c r="F31" s="4">
        <f>ROUND(D31*E31/100,2)</f>
        <v>2013.89</v>
      </c>
    </row>
    <row r="32" customHeight="1" spans="1:6">
      <c r="A32" s="4">
        <v>3</v>
      </c>
      <c r="B32" s="6" t="s">
        <v>281</v>
      </c>
      <c r="C32" s="4" t="s">
        <v>280</v>
      </c>
      <c r="D32" s="21">
        <f>D31</f>
        <v>67129.79845</v>
      </c>
      <c r="E32" s="4"/>
      <c r="F32" s="4">
        <f>ROUND(D32*E32/100,2)</f>
        <v>0</v>
      </c>
    </row>
    <row r="33" customHeight="1" spans="1:6">
      <c r="A33" s="4" t="s">
        <v>0</v>
      </c>
      <c r="B33" s="6" t="s">
        <v>0</v>
      </c>
      <c r="C33" s="4" t="s">
        <v>0</v>
      </c>
      <c r="D33" s="9" t="s">
        <v>0</v>
      </c>
      <c r="E33" s="4" t="s">
        <v>0</v>
      </c>
      <c r="F33" s="4"/>
    </row>
    <row r="34" customHeight="1" spans="1:6">
      <c r="A34" s="4" t="s">
        <v>0</v>
      </c>
      <c r="B34" s="6" t="s">
        <v>0</v>
      </c>
      <c r="C34" s="4" t="s">
        <v>0</v>
      </c>
      <c r="D34" s="9" t="s">
        <v>0</v>
      </c>
      <c r="E34" s="4" t="s">
        <v>0</v>
      </c>
      <c r="F34" s="4"/>
    </row>
    <row r="35" customHeight="1" spans="1:6">
      <c r="A35" s="4" t="s">
        <v>106</v>
      </c>
      <c r="B35" s="4" t="s">
        <v>0</v>
      </c>
      <c r="C35" s="4" t="s">
        <v>0</v>
      </c>
      <c r="D35" s="4" t="s">
        <v>0</v>
      </c>
      <c r="E35" s="4" t="s">
        <v>0</v>
      </c>
      <c r="F35" s="9">
        <f>SUM(F30:F34)</f>
        <v>2886.49</v>
      </c>
    </row>
    <row r="37" customHeight="1" spans="1:6">
      <c r="A37" s="14" t="s">
        <v>274</v>
      </c>
      <c r="B37" s="14"/>
      <c r="C37" s="14"/>
      <c r="D37" s="14"/>
      <c r="E37" s="14"/>
      <c r="F37" s="15" t="s">
        <v>612</v>
      </c>
    </row>
    <row r="38" customHeight="1" spans="1:6">
      <c r="A38" s="16" t="s">
        <v>22</v>
      </c>
      <c r="B38" s="17" t="s">
        <v>548</v>
      </c>
      <c r="C38" s="17"/>
      <c r="D38" s="17"/>
      <c r="E38" s="17" t="s">
        <v>81</v>
      </c>
      <c r="F38" s="17" t="s">
        <v>0</v>
      </c>
    </row>
    <row r="39" customHeight="1" spans="1:6">
      <c r="A39" s="16" t="s">
        <v>82</v>
      </c>
      <c r="B39" s="17" t="s">
        <v>481</v>
      </c>
      <c r="C39" s="17"/>
      <c r="D39" s="17"/>
      <c r="E39" s="17" t="str">
        <f>"工程数量："&amp;'[1]附表C-6营造林工程投资概算'!$D$15</f>
        <v>工程数量：111.11</v>
      </c>
      <c r="F39" s="17" t="s">
        <v>0</v>
      </c>
    </row>
    <row r="40" customHeight="1" spans="1:6">
      <c r="A40" s="16" t="s">
        <v>84</v>
      </c>
      <c r="B40" s="18" t="s">
        <v>621</v>
      </c>
      <c r="C40" s="18"/>
      <c r="D40" s="18"/>
      <c r="E40" s="16" t="s">
        <v>0</v>
      </c>
      <c r="F40" s="16" t="s">
        <v>0</v>
      </c>
    </row>
    <row r="41" customHeight="1" spans="1:6">
      <c r="A41" s="4" t="s">
        <v>28</v>
      </c>
      <c r="B41" s="4" t="s">
        <v>56</v>
      </c>
      <c r="C41" s="4" t="s">
        <v>194</v>
      </c>
      <c r="D41" s="4" t="s">
        <v>195</v>
      </c>
      <c r="E41" s="4" t="s">
        <v>275</v>
      </c>
      <c r="F41" s="4" t="s">
        <v>276</v>
      </c>
    </row>
    <row r="42" customHeight="1" spans="1:6">
      <c r="A42" s="4" t="s">
        <v>68</v>
      </c>
      <c r="B42" s="6" t="s">
        <v>277</v>
      </c>
      <c r="C42" s="4" t="s">
        <v>278</v>
      </c>
      <c r="D42" s="19">
        <f>'D3-3 分部分项工程量清单综合单价计算表(分页不带材料)~3'!F69*0.3</f>
        <v>30499.123581</v>
      </c>
      <c r="E42" s="4">
        <v>4.8</v>
      </c>
      <c r="F42" s="4">
        <f>ROUND(D42*E42/100,2)</f>
        <v>1463.96</v>
      </c>
    </row>
    <row r="43" customHeight="1" spans="1:6">
      <c r="A43" s="4" t="s">
        <v>71</v>
      </c>
      <c r="B43" s="6" t="s">
        <v>279</v>
      </c>
      <c r="C43" s="4" t="s">
        <v>280</v>
      </c>
      <c r="D43" s="21">
        <f>'D3-3 分部分项工程量清单综合单价计算表(分页不带材料)~3'!K69+'E.1分部分项工程总价措施项目清单计价表-GP型'!I78+'F1.1暂列金额明细表（GP型）'!D113+'G.1规费、税金项目清单计价表-GP型'!F42</f>
        <v>112623.10527</v>
      </c>
      <c r="E43" s="4">
        <v>3</v>
      </c>
      <c r="F43" s="4">
        <f>ROUND(D43*E43/100,2)</f>
        <v>3378.69</v>
      </c>
    </row>
    <row r="44" customHeight="1" spans="1:6">
      <c r="A44" s="4">
        <v>3</v>
      </c>
      <c r="B44" s="6" t="s">
        <v>281</v>
      </c>
      <c r="C44" s="4" t="s">
        <v>280</v>
      </c>
      <c r="D44" s="21">
        <f>D43</f>
        <v>112623.10527</v>
      </c>
      <c r="E44" s="4">
        <v>0</v>
      </c>
      <c r="F44" s="4">
        <f>ROUND(D44*E44/100,2)</f>
        <v>0</v>
      </c>
    </row>
    <row r="45" customHeight="1" spans="1:6">
      <c r="A45" s="4" t="s">
        <v>0</v>
      </c>
      <c r="B45" s="6" t="s">
        <v>0</v>
      </c>
      <c r="C45" s="4" t="s">
        <v>0</v>
      </c>
      <c r="D45" s="9" t="s">
        <v>0</v>
      </c>
      <c r="E45" s="4" t="s">
        <v>0</v>
      </c>
      <c r="F45" s="4"/>
    </row>
    <row r="46" customHeight="1" spans="1:6">
      <c r="A46" s="4" t="s">
        <v>0</v>
      </c>
      <c r="B46" s="6" t="s">
        <v>0</v>
      </c>
      <c r="C46" s="4" t="s">
        <v>0</v>
      </c>
      <c r="D46" s="9" t="s">
        <v>0</v>
      </c>
      <c r="E46" s="4" t="s">
        <v>0</v>
      </c>
      <c r="F46" s="4"/>
    </row>
    <row r="47" customHeight="1" spans="1:6">
      <c r="A47" s="4" t="s">
        <v>106</v>
      </c>
      <c r="B47" s="4" t="s">
        <v>0</v>
      </c>
      <c r="C47" s="4" t="s">
        <v>0</v>
      </c>
      <c r="D47" s="4" t="s">
        <v>0</v>
      </c>
      <c r="E47" s="4" t="s">
        <v>0</v>
      </c>
      <c r="F47" s="9">
        <f>SUM(F42:F46)</f>
        <v>4842.65</v>
      </c>
    </row>
    <row r="49" customHeight="1" spans="1:6">
      <c r="A49" s="14" t="s">
        <v>274</v>
      </c>
      <c r="B49" s="14"/>
      <c r="C49" s="14"/>
      <c r="D49" s="14"/>
      <c r="E49" s="14"/>
      <c r="F49" s="15" t="s">
        <v>615</v>
      </c>
    </row>
    <row r="50" customHeight="1" spans="1:6">
      <c r="A50" s="16" t="s">
        <v>22</v>
      </c>
      <c r="B50" s="17" t="s">
        <v>548</v>
      </c>
      <c r="C50" s="17"/>
      <c r="D50" s="17"/>
      <c r="E50" s="17" t="s">
        <v>81</v>
      </c>
      <c r="F50" s="17" t="s">
        <v>0</v>
      </c>
    </row>
    <row r="51" customHeight="1" spans="1:6">
      <c r="A51" s="16" t="s">
        <v>82</v>
      </c>
      <c r="B51" s="17" t="s">
        <v>616</v>
      </c>
      <c r="C51" s="17"/>
      <c r="D51" s="17"/>
      <c r="E51" s="17" t="str">
        <f>"工程数量："&amp;'[1]附表C-6营造林工程投资概算'!$D$16</f>
        <v>工程数量：224.18</v>
      </c>
      <c r="F51" s="17" t="s">
        <v>0</v>
      </c>
    </row>
    <row r="52" customHeight="1" spans="1:6">
      <c r="A52" s="16" t="s">
        <v>84</v>
      </c>
      <c r="B52" s="18" t="s">
        <v>622</v>
      </c>
      <c r="C52" s="18"/>
      <c r="D52" s="18"/>
      <c r="E52" s="16" t="s">
        <v>0</v>
      </c>
      <c r="F52" s="16" t="s">
        <v>0</v>
      </c>
    </row>
    <row r="53" customHeight="1" spans="1:6">
      <c r="A53" s="4" t="s">
        <v>28</v>
      </c>
      <c r="B53" s="4" t="s">
        <v>56</v>
      </c>
      <c r="C53" s="4" t="s">
        <v>194</v>
      </c>
      <c r="D53" s="4" t="s">
        <v>195</v>
      </c>
      <c r="E53" s="4" t="s">
        <v>275</v>
      </c>
      <c r="F53" s="4" t="s">
        <v>276</v>
      </c>
    </row>
    <row r="54" customHeight="1" spans="1:6">
      <c r="A54" s="4" t="s">
        <v>68</v>
      </c>
      <c r="B54" s="6" t="s">
        <v>277</v>
      </c>
      <c r="C54" s="4" t="s">
        <v>278</v>
      </c>
      <c r="D54" s="19">
        <f>'D3-3 分部分项工程量清单综合单价计算表(分页不带材料)~3'!F87*0.3</f>
        <v>68552.021127</v>
      </c>
      <c r="E54" s="4">
        <v>4.8</v>
      </c>
      <c r="F54" s="4">
        <f>ROUND(D54*E54/100,2)</f>
        <v>3290.5</v>
      </c>
    </row>
    <row r="55" customHeight="1" spans="1:6">
      <c r="A55" s="4" t="s">
        <v>71</v>
      </c>
      <c r="B55" s="6" t="s">
        <v>279</v>
      </c>
      <c r="C55" s="4" t="s">
        <v>280</v>
      </c>
      <c r="D55" s="21">
        <f>'D3-3 分部分项工程量清单综合单价计算表(分页不带材料)~3'!K87+'E.1分部分项工程总价措施项目清单计价表-GP型'!I98+'F1.1暂列金额明细表（GP型）'!D142+'G.1规费、税金项目清单计价表-GP型'!F54</f>
        <v>253139.76709</v>
      </c>
      <c r="E55" s="4">
        <v>3</v>
      </c>
      <c r="F55" s="4">
        <f>ROUND(D55*E55/100,2)</f>
        <v>7594.19</v>
      </c>
    </row>
    <row r="56" customHeight="1" spans="1:6">
      <c r="A56" s="4">
        <v>3</v>
      </c>
      <c r="B56" s="6" t="s">
        <v>281</v>
      </c>
      <c r="C56" s="4" t="s">
        <v>280</v>
      </c>
      <c r="D56" s="21">
        <f>D55</f>
        <v>253139.76709</v>
      </c>
      <c r="E56" s="4"/>
      <c r="F56" s="4">
        <f>ROUND(D56*E56/100,2)</f>
        <v>0</v>
      </c>
    </row>
    <row r="57" customHeight="1" spans="1:6">
      <c r="A57" s="4" t="s">
        <v>0</v>
      </c>
      <c r="B57" s="6" t="s">
        <v>0</v>
      </c>
      <c r="C57" s="4" t="s">
        <v>0</v>
      </c>
      <c r="D57" s="9" t="s">
        <v>0</v>
      </c>
      <c r="E57" s="4" t="s">
        <v>0</v>
      </c>
      <c r="F57" s="4"/>
    </row>
    <row r="58" customHeight="1" spans="1:6">
      <c r="A58" s="4" t="s">
        <v>0</v>
      </c>
      <c r="B58" s="6" t="s">
        <v>0</v>
      </c>
      <c r="C58" s="4" t="s">
        <v>0</v>
      </c>
      <c r="D58" s="9" t="s">
        <v>0</v>
      </c>
      <c r="E58" s="4" t="s">
        <v>0</v>
      </c>
      <c r="F58" s="4"/>
    </row>
    <row r="59" customHeight="1" spans="1:6">
      <c r="A59" s="4" t="s">
        <v>106</v>
      </c>
      <c r="B59" s="4" t="s">
        <v>0</v>
      </c>
      <c r="C59" s="4" t="s">
        <v>0</v>
      </c>
      <c r="D59" s="4" t="s">
        <v>0</v>
      </c>
      <c r="E59" s="4" t="s">
        <v>0</v>
      </c>
      <c r="F59" s="9">
        <f>SUM(F54:F58)</f>
        <v>10884.69</v>
      </c>
    </row>
  </sheetData>
  <mergeCells count="35">
    <mergeCell ref="A1:E1"/>
    <mergeCell ref="B2:D2"/>
    <mergeCell ref="E2:F2"/>
    <mergeCell ref="B3:D3"/>
    <mergeCell ref="E3:F3"/>
    <mergeCell ref="B4:D4"/>
    <mergeCell ref="A11:E11"/>
    <mergeCell ref="A13:E13"/>
    <mergeCell ref="B14:D14"/>
    <mergeCell ref="E14:F14"/>
    <mergeCell ref="B15:D15"/>
    <mergeCell ref="E15:F15"/>
    <mergeCell ref="B16:D16"/>
    <mergeCell ref="A23:E23"/>
    <mergeCell ref="A25:E25"/>
    <mergeCell ref="B26:D26"/>
    <mergeCell ref="E26:F26"/>
    <mergeCell ref="B27:D27"/>
    <mergeCell ref="E27:F27"/>
    <mergeCell ref="B28:D28"/>
    <mergeCell ref="A35:E35"/>
    <mergeCell ref="A37:E37"/>
    <mergeCell ref="B38:D38"/>
    <mergeCell ref="E38:F38"/>
    <mergeCell ref="B39:D39"/>
    <mergeCell ref="E39:F39"/>
    <mergeCell ref="B40:D40"/>
    <mergeCell ref="A47:E47"/>
    <mergeCell ref="A49:E49"/>
    <mergeCell ref="B50:D50"/>
    <mergeCell ref="E50:F50"/>
    <mergeCell ref="B51:D51"/>
    <mergeCell ref="E51:F51"/>
    <mergeCell ref="B52:D52"/>
    <mergeCell ref="A59:E5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showZeros="0" workbookViewId="0">
      <selection activeCell="F4" sqref="F4:F17"/>
    </sheetView>
  </sheetViews>
  <sheetFormatPr defaultColWidth="8.88888888888889" defaultRowHeight="14.4" outlineLevelCol="5"/>
  <cols>
    <col min="1" max="1" width="6.78703703703704" style="1" customWidth="1"/>
    <col min="2" max="2" width="11" style="1" customWidth="1"/>
    <col min="3" max="3" width="18.3333333333333" style="1" customWidth="1"/>
    <col min="4" max="4" width="33" style="1" customWidth="1"/>
    <col min="5" max="5" width="10.3333333333333" style="1" customWidth="1"/>
    <col min="6" max="6" width="9.66666666666667" style="1" customWidth="1"/>
    <col min="7" max="16384" width="8.88888888888889" style="1"/>
  </cols>
  <sheetData>
    <row r="1" ht="28.8" customHeight="1" spans="1:6">
      <c r="A1" s="2" t="s">
        <v>287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</row>
    <row r="2" ht="19.8" customHeight="1" spans="1:6">
      <c r="A2" s="3" t="s">
        <v>436</v>
      </c>
      <c r="B2" s="3"/>
      <c r="C2" s="3"/>
      <c r="D2" s="3"/>
      <c r="E2" s="3"/>
      <c r="F2" s="3"/>
    </row>
    <row r="3" ht="24" spans="1:6">
      <c r="A3" s="4" t="s">
        <v>28</v>
      </c>
      <c r="B3" s="5" t="s">
        <v>288</v>
      </c>
      <c r="C3" s="4" t="s">
        <v>289</v>
      </c>
      <c r="D3" s="4" t="s">
        <v>290</v>
      </c>
      <c r="E3" s="4" t="s">
        <v>57</v>
      </c>
      <c r="F3" s="4" t="s">
        <v>291</v>
      </c>
    </row>
    <row r="4" spans="1:6">
      <c r="A4" s="4" t="s">
        <v>68</v>
      </c>
      <c r="B4" s="6" t="s">
        <v>426</v>
      </c>
      <c r="C4" s="6" t="s">
        <v>364</v>
      </c>
      <c r="D4" s="4"/>
      <c r="E4" s="4" t="s">
        <v>137</v>
      </c>
      <c r="F4" s="7">
        <f>231*0.94*0.85</f>
        <v>184.569</v>
      </c>
    </row>
    <row r="5" spans="1:6">
      <c r="A5" s="4" t="s">
        <v>71</v>
      </c>
      <c r="B5" s="6" t="s">
        <v>427</v>
      </c>
      <c r="C5" s="6" t="s">
        <v>365</v>
      </c>
      <c r="D5" s="4"/>
      <c r="E5" s="4" t="s">
        <v>137</v>
      </c>
      <c r="F5" s="7">
        <v>184.569</v>
      </c>
    </row>
    <row r="6" spans="1:6">
      <c r="A6" s="4" t="s">
        <v>73</v>
      </c>
      <c r="B6" s="6" t="s">
        <v>428</v>
      </c>
      <c r="C6" s="6" t="s">
        <v>366</v>
      </c>
      <c r="D6" s="6" t="s">
        <v>0</v>
      </c>
      <c r="E6" s="4" t="s">
        <v>137</v>
      </c>
      <c r="F6" s="7">
        <v>184.569</v>
      </c>
    </row>
    <row r="7" spans="1:6">
      <c r="A7" s="4" t="s">
        <v>94</v>
      </c>
      <c r="B7" s="5" t="s">
        <v>429</v>
      </c>
      <c r="C7" s="6" t="s">
        <v>384</v>
      </c>
      <c r="D7" s="6" t="s">
        <v>0</v>
      </c>
      <c r="E7" s="4" t="s">
        <v>137</v>
      </c>
      <c r="F7" s="7">
        <v>107.066</v>
      </c>
    </row>
    <row r="8" spans="1:6">
      <c r="A8" s="4" t="s">
        <v>96</v>
      </c>
      <c r="B8" s="5" t="s">
        <v>430</v>
      </c>
      <c r="C8" s="6" t="s">
        <v>385</v>
      </c>
      <c r="D8" s="6" t="s">
        <v>0</v>
      </c>
      <c r="E8" s="4" t="s">
        <v>137</v>
      </c>
      <c r="F8" s="7">
        <v>107.066</v>
      </c>
    </row>
    <row r="9" spans="1:6">
      <c r="A9" s="4" t="s">
        <v>98</v>
      </c>
      <c r="B9" s="5" t="s">
        <v>623</v>
      </c>
      <c r="C9" s="6" t="s">
        <v>91</v>
      </c>
      <c r="D9" s="6" t="s">
        <v>0</v>
      </c>
      <c r="E9" s="4" t="s">
        <v>137</v>
      </c>
      <c r="F9" s="7">
        <v>107.066</v>
      </c>
    </row>
    <row r="10" spans="1:6">
      <c r="A10" s="4" t="s">
        <v>100</v>
      </c>
      <c r="B10" s="5" t="s">
        <v>624</v>
      </c>
      <c r="C10" s="6" t="s">
        <v>92</v>
      </c>
      <c r="D10" s="6" t="s">
        <v>0</v>
      </c>
      <c r="E10" s="4" t="s">
        <v>137</v>
      </c>
      <c r="F10" s="7">
        <v>107.066</v>
      </c>
    </row>
    <row r="11" spans="1:6">
      <c r="A11" s="4" t="s">
        <v>102</v>
      </c>
      <c r="B11" s="5" t="s">
        <v>625</v>
      </c>
      <c r="C11" s="6" t="s">
        <v>514</v>
      </c>
      <c r="D11" s="6" t="s">
        <v>0</v>
      </c>
      <c r="E11" s="4" t="s">
        <v>137</v>
      </c>
      <c r="F11" s="7">
        <v>107.066</v>
      </c>
    </row>
    <row r="12" spans="1:6">
      <c r="A12" s="4" t="s">
        <v>104</v>
      </c>
      <c r="B12" s="5" t="s">
        <v>626</v>
      </c>
      <c r="C12" s="6" t="s">
        <v>627</v>
      </c>
      <c r="D12" s="6" t="s">
        <v>0</v>
      </c>
      <c r="E12" s="4" t="s">
        <v>137</v>
      </c>
      <c r="F12" s="7">
        <v>107.066</v>
      </c>
    </row>
    <row r="13" spans="1:6">
      <c r="A13" s="4" t="s">
        <v>306</v>
      </c>
      <c r="B13" s="5" t="s">
        <v>292</v>
      </c>
      <c r="C13" s="6" t="s">
        <v>293</v>
      </c>
      <c r="D13" s="6" t="s">
        <v>0</v>
      </c>
      <c r="E13" s="4" t="s">
        <v>137</v>
      </c>
      <c r="F13" s="7">
        <v>107.066</v>
      </c>
    </row>
    <row r="14" spans="1:6">
      <c r="A14" s="4" t="s">
        <v>146</v>
      </c>
      <c r="B14" s="5" t="s">
        <v>294</v>
      </c>
      <c r="C14" s="6" t="s">
        <v>171</v>
      </c>
      <c r="D14" s="6" t="s">
        <v>0</v>
      </c>
      <c r="E14" s="4" t="s">
        <v>137</v>
      </c>
      <c r="F14" s="7">
        <v>107.066</v>
      </c>
    </row>
    <row r="15" spans="1:6">
      <c r="A15" s="4" t="s">
        <v>149</v>
      </c>
      <c r="B15" s="5" t="s">
        <v>431</v>
      </c>
      <c r="C15" s="6" t="s">
        <v>367</v>
      </c>
      <c r="D15" s="6" t="s">
        <v>0</v>
      </c>
      <c r="E15" s="4" t="s">
        <v>137</v>
      </c>
      <c r="F15" s="7">
        <v>107.066</v>
      </c>
    </row>
    <row r="16" spans="1:6">
      <c r="A16" s="4" t="s">
        <v>152</v>
      </c>
      <c r="B16" s="5" t="s">
        <v>432</v>
      </c>
      <c r="C16" s="6" t="s">
        <v>386</v>
      </c>
      <c r="D16" s="6" t="s">
        <v>0</v>
      </c>
      <c r="E16" s="4" t="s">
        <v>137</v>
      </c>
      <c r="F16" s="7">
        <v>107.066</v>
      </c>
    </row>
    <row r="17" spans="1:6">
      <c r="A17" s="4" t="s">
        <v>154</v>
      </c>
      <c r="B17" s="4" t="s">
        <v>433</v>
      </c>
      <c r="C17" s="8" t="s">
        <v>372</v>
      </c>
      <c r="D17" s="6"/>
      <c r="E17" s="4" t="s">
        <v>137</v>
      </c>
      <c r="F17" s="7">
        <v>107.066</v>
      </c>
    </row>
    <row r="18" spans="1:6">
      <c r="A18" s="4" t="s">
        <v>157</v>
      </c>
      <c r="B18" s="5" t="s">
        <v>628</v>
      </c>
      <c r="C18" s="6" t="s">
        <v>173</v>
      </c>
      <c r="D18" s="6" t="s">
        <v>0</v>
      </c>
      <c r="E18" s="4" t="s">
        <v>296</v>
      </c>
      <c r="F18" s="9" t="s">
        <v>8</v>
      </c>
    </row>
    <row r="19" spans="1:6">
      <c r="A19" s="4" t="s">
        <v>313</v>
      </c>
      <c r="B19" s="5" t="s">
        <v>629</v>
      </c>
      <c r="C19" s="6" t="s">
        <v>165</v>
      </c>
      <c r="D19" s="6" t="s">
        <v>0</v>
      </c>
      <c r="E19" s="4" t="s">
        <v>296</v>
      </c>
      <c r="F19" s="9" t="s">
        <v>8</v>
      </c>
    </row>
    <row r="20" spans="1:6">
      <c r="A20" s="4" t="s">
        <v>315</v>
      </c>
      <c r="B20" s="5" t="s">
        <v>295</v>
      </c>
      <c r="C20" s="6" t="s">
        <v>170</v>
      </c>
      <c r="D20" s="6" t="s">
        <v>0</v>
      </c>
      <c r="E20" s="4" t="s">
        <v>296</v>
      </c>
      <c r="F20" s="9" t="s">
        <v>8</v>
      </c>
    </row>
    <row r="21" spans="1:6">
      <c r="A21" s="4" t="s">
        <v>317</v>
      </c>
      <c r="B21" s="5" t="s">
        <v>297</v>
      </c>
      <c r="C21" s="6" t="s">
        <v>175</v>
      </c>
      <c r="D21" s="6" t="s">
        <v>0</v>
      </c>
      <c r="E21" s="4" t="s">
        <v>298</v>
      </c>
      <c r="F21" s="9" t="s">
        <v>8</v>
      </c>
    </row>
    <row r="22" spans="1:6">
      <c r="A22" s="4" t="s">
        <v>319</v>
      </c>
      <c r="B22" s="5" t="s">
        <v>630</v>
      </c>
      <c r="C22" s="6" t="s">
        <v>631</v>
      </c>
      <c r="D22" s="6" t="s">
        <v>0</v>
      </c>
      <c r="E22" s="4" t="s">
        <v>632</v>
      </c>
      <c r="F22" s="9" t="s">
        <v>8</v>
      </c>
    </row>
    <row r="23" spans="1:6">
      <c r="A23" s="4" t="s">
        <v>321</v>
      </c>
      <c r="B23" s="5" t="s">
        <v>633</v>
      </c>
      <c r="C23" s="6" t="s">
        <v>634</v>
      </c>
      <c r="D23" s="6" t="s">
        <v>0</v>
      </c>
      <c r="E23" s="4" t="s">
        <v>298</v>
      </c>
      <c r="F23" s="9" t="s">
        <v>8</v>
      </c>
    </row>
    <row r="24" spans="1:6">
      <c r="A24" s="4" t="s">
        <v>323</v>
      </c>
      <c r="B24" s="5" t="s">
        <v>635</v>
      </c>
      <c r="C24" s="6" t="s">
        <v>515</v>
      </c>
      <c r="D24" s="6" t="s">
        <v>0</v>
      </c>
      <c r="E24" s="4" t="s">
        <v>156</v>
      </c>
      <c r="F24" s="9" t="s">
        <v>8</v>
      </c>
    </row>
    <row r="25" spans="1:6">
      <c r="A25" s="4" t="s">
        <v>327</v>
      </c>
      <c r="B25" s="5" t="s">
        <v>636</v>
      </c>
      <c r="C25" s="6" t="s">
        <v>516</v>
      </c>
      <c r="D25" s="6" t="s">
        <v>0</v>
      </c>
      <c r="E25" s="4" t="s">
        <v>156</v>
      </c>
      <c r="F25" s="9" t="s">
        <v>8</v>
      </c>
    </row>
    <row r="26" spans="1:6">
      <c r="A26" s="4" t="s">
        <v>330</v>
      </c>
      <c r="B26" s="5" t="s">
        <v>299</v>
      </c>
      <c r="C26" s="6" t="s">
        <v>168</v>
      </c>
      <c r="D26" s="6" t="s">
        <v>0</v>
      </c>
      <c r="E26" s="4" t="s">
        <v>142</v>
      </c>
      <c r="F26" s="9" t="s">
        <v>8</v>
      </c>
    </row>
    <row r="27" spans="1:6">
      <c r="A27" s="4" t="s">
        <v>333</v>
      </c>
      <c r="B27" s="5" t="s">
        <v>637</v>
      </c>
      <c r="C27" s="6" t="s">
        <v>143</v>
      </c>
      <c r="D27" s="6" t="s">
        <v>0</v>
      </c>
      <c r="E27" s="4" t="s">
        <v>142</v>
      </c>
      <c r="F27" s="9" t="s">
        <v>8</v>
      </c>
    </row>
    <row r="28" spans="1:6">
      <c r="A28" s="4" t="s">
        <v>336</v>
      </c>
      <c r="B28" s="5" t="s">
        <v>310</v>
      </c>
      <c r="C28" s="6" t="s">
        <v>144</v>
      </c>
      <c r="D28" s="6" t="s">
        <v>0</v>
      </c>
      <c r="E28" s="4" t="s">
        <v>137</v>
      </c>
      <c r="F28" s="7">
        <v>107.066</v>
      </c>
    </row>
    <row r="29" spans="1:6">
      <c r="A29" s="4">
        <v>26</v>
      </c>
      <c r="B29" s="5" t="s">
        <v>311</v>
      </c>
      <c r="C29" s="6" t="s">
        <v>164</v>
      </c>
      <c r="D29" s="6" t="s">
        <v>0</v>
      </c>
      <c r="E29" s="4" t="s">
        <v>142</v>
      </c>
      <c r="F29" s="7"/>
    </row>
    <row r="30" spans="1:6">
      <c r="A30" s="4">
        <v>27</v>
      </c>
      <c r="B30" s="5" t="s">
        <v>312</v>
      </c>
      <c r="C30" s="6" t="s">
        <v>167</v>
      </c>
      <c r="D30" s="6" t="s">
        <v>0</v>
      </c>
      <c r="E30" s="4" t="s">
        <v>137</v>
      </c>
      <c r="F30" s="7">
        <v>107.066</v>
      </c>
    </row>
    <row r="31" spans="1:6">
      <c r="A31" s="4">
        <v>28</v>
      </c>
      <c r="B31" s="5" t="s">
        <v>314</v>
      </c>
      <c r="C31" s="6" t="s">
        <v>169</v>
      </c>
      <c r="D31" s="6" t="s">
        <v>0</v>
      </c>
      <c r="E31" s="4" t="s">
        <v>142</v>
      </c>
      <c r="F31" s="7">
        <v>18.6167</v>
      </c>
    </row>
    <row r="32" spans="1:6">
      <c r="A32" s="4">
        <v>29</v>
      </c>
      <c r="B32" s="5" t="s">
        <v>638</v>
      </c>
      <c r="C32" s="6" t="s">
        <v>179</v>
      </c>
      <c r="D32" s="6" t="s">
        <v>0</v>
      </c>
      <c r="E32" s="4" t="s">
        <v>180</v>
      </c>
      <c r="F32" s="7">
        <v>8.52533</v>
      </c>
    </row>
    <row r="33" spans="1:6">
      <c r="A33" s="4">
        <v>30</v>
      </c>
      <c r="B33" s="5" t="s">
        <v>320</v>
      </c>
      <c r="C33" s="6" t="s">
        <v>181</v>
      </c>
      <c r="D33" s="6" t="s">
        <v>0</v>
      </c>
      <c r="E33" s="4" t="s">
        <v>137</v>
      </c>
      <c r="F33" s="7">
        <v>107.066</v>
      </c>
    </row>
    <row r="34" spans="1:6">
      <c r="A34" s="4">
        <v>31</v>
      </c>
      <c r="B34" s="5" t="s">
        <v>322</v>
      </c>
      <c r="C34" s="6" t="s">
        <v>163</v>
      </c>
      <c r="D34" s="6" t="s">
        <v>0</v>
      </c>
      <c r="E34" s="4" t="s">
        <v>142</v>
      </c>
      <c r="F34" s="7">
        <v>3.60349</v>
      </c>
    </row>
    <row r="35" spans="1:6">
      <c r="A35" s="4">
        <v>32</v>
      </c>
      <c r="B35" s="5" t="s">
        <v>639</v>
      </c>
      <c r="C35" s="6" t="s">
        <v>519</v>
      </c>
      <c r="D35" s="6" t="s">
        <v>0</v>
      </c>
      <c r="E35" s="4" t="s">
        <v>142</v>
      </c>
      <c r="F35" s="7">
        <v>4.53033</v>
      </c>
    </row>
    <row r="36" spans="1:6">
      <c r="A36" s="4">
        <v>33</v>
      </c>
      <c r="B36" s="5" t="s">
        <v>640</v>
      </c>
      <c r="C36" s="6" t="s">
        <v>329</v>
      </c>
      <c r="D36" s="10" t="s">
        <v>641</v>
      </c>
      <c r="E36" s="4" t="s">
        <v>156</v>
      </c>
      <c r="F36" s="7">
        <v>3.995</v>
      </c>
    </row>
    <row r="37" spans="1:6">
      <c r="A37" s="4">
        <v>34</v>
      </c>
      <c r="B37" s="5" t="s">
        <v>642</v>
      </c>
      <c r="C37" s="6" t="s">
        <v>643</v>
      </c>
      <c r="D37" s="10" t="s">
        <v>641</v>
      </c>
      <c r="E37" s="4" t="s">
        <v>156</v>
      </c>
      <c r="F37" s="7">
        <v>3.995</v>
      </c>
    </row>
    <row r="38" spans="1:6">
      <c r="A38" s="4">
        <v>35</v>
      </c>
      <c r="B38" s="5" t="s">
        <v>644</v>
      </c>
      <c r="C38" s="6" t="s">
        <v>645</v>
      </c>
      <c r="D38" s="10" t="s">
        <v>641</v>
      </c>
      <c r="E38" s="4" t="s">
        <v>156</v>
      </c>
      <c r="F38" s="7">
        <v>12.784</v>
      </c>
    </row>
    <row r="39" spans="1:6">
      <c r="A39" s="4">
        <v>36</v>
      </c>
      <c r="B39" s="5" t="s">
        <v>646</v>
      </c>
      <c r="C39" s="6" t="s">
        <v>647</v>
      </c>
      <c r="D39" s="10" t="s">
        <v>648</v>
      </c>
      <c r="E39" s="4" t="s">
        <v>156</v>
      </c>
      <c r="F39" s="7">
        <v>95.88</v>
      </c>
    </row>
    <row r="40" spans="1:6">
      <c r="A40" s="4">
        <v>37</v>
      </c>
      <c r="B40" s="5" t="s">
        <v>649</v>
      </c>
      <c r="C40" s="6" t="s">
        <v>650</v>
      </c>
      <c r="D40" s="10" t="s">
        <v>648</v>
      </c>
      <c r="E40" s="4" t="s">
        <v>156</v>
      </c>
      <c r="F40" s="7">
        <v>79.9</v>
      </c>
    </row>
    <row r="41" ht="27" customHeight="1" spans="1:6">
      <c r="A41" s="4">
        <v>38</v>
      </c>
      <c r="B41" s="5" t="s">
        <v>651</v>
      </c>
      <c r="C41" s="6" t="s">
        <v>650</v>
      </c>
      <c r="D41" s="10" t="s">
        <v>652</v>
      </c>
      <c r="E41" s="4" t="s">
        <v>156</v>
      </c>
      <c r="F41" s="7">
        <v>759.05</v>
      </c>
    </row>
    <row r="42" spans="1:6">
      <c r="A42" s="4">
        <v>39</v>
      </c>
      <c r="B42" s="5" t="s">
        <v>653</v>
      </c>
      <c r="C42" s="6" t="s">
        <v>335</v>
      </c>
      <c r="D42" s="10" t="s">
        <v>648</v>
      </c>
      <c r="E42" s="4" t="s">
        <v>156</v>
      </c>
      <c r="F42" s="7">
        <v>79.9</v>
      </c>
    </row>
    <row r="43" ht="34.2" customHeight="1" spans="1:6">
      <c r="A43" s="4">
        <v>40</v>
      </c>
      <c r="B43" s="5" t="s">
        <v>654</v>
      </c>
      <c r="C43" s="6" t="s">
        <v>335</v>
      </c>
      <c r="D43" s="10" t="s">
        <v>655</v>
      </c>
      <c r="E43" s="4" t="s">
        <v>156</v>
      </c>
      <c r="F43" s="7">
        <v>958.8</v>
      </c>
    </row>
    <row r="44" ht="27.6" customHeight="1" spans="1:6">
      <c r="A44" s="4">
        <v>41</v>
      </c>
      <c r="B44" s="5" t="s">
        <v>656</v>
      </c>
      <c r="C44" s="6" t="s">
        <v>657</v>
      </c>
      <c r="D44" s="11" t="s">
        <v>658</v>
      </c>
      <c r="E44" s="4" t="s">
        <v>156</v>
      </c>
      <c r="F44" s="7">
        <v>87.89</v>
      </c>
    </row>
    <row r="45" ht="19.8" customHeight="1" spans="1:6">
      <c r="A45" s="4">
        <v>42</v>
      </c>
      <c r="B45" s="5" t="s">
        <v>659</v>
      </c>
      <c r="C45" s="6" t="s">
        <v>660</v>
      </c>
      <c r="D45" s="12" t="s">
        <v>661</v>
      </c>
      <c r="E45" s="4" t="s">
        <v>156</v>
      </c>
      <c r="F45" s="7">
        <v>1.1985</v>
      </c>
    </row>
    <row r="46" spans="1:6">
      <c r="A46" s="13"/>
      <c r="B46" s="13"/>
      <c r="C46" s="13"/>
      <c r="D46" s="13"/>
      <c r="E46" s="13"/>
      <c r="F46" s="13"/>
    </row>
  </sheetData>
  <mergeCells count="3">
    <mergeCell ref="A1:F1"/>
    <mergeCell ref="A2:F2"/>
    <mergeCell ref="A46:F4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S10"/>
  <sheetViews>
    <sheetView showZeros="0" tabSelected="1" workbookViewId="0">
      <selection activeCell="D18" sqref="D18"/>
    </sheetView>
  </sheetViews>
  <sheetFormatPr defaultColWidth="8.88888888888889" defaultRowHeight="14.4"/>
  <cols>
    <col min="1" max="1" width="10.2222222222222" style="1" customWidth="1"/>
    <col min="2" max="2" width="13.212962962963" style="1" customWidth="1"/>
    <col min="3" max="3" width="10.1111111111111" style="1" customWidth="1"/>
    <col min="4" max="4" width="14.4444444444444" style="1" customWidth="1"/>
    <col min="5" max="8" width="12.212962962963" style="1" customWidth="1"/>
    <col min="9" max="9" width="13" style="1" customWidth="1"/>
    <col min="10" max="10" width="13" style="131" customWidth="1"/>
    <col min="11" max="11" width="9.66666666666667" style="1" customWidth="1"/>
    <col min="12" max="12" width="11.1111111111111" style="1" customWidth="1"/>
    <col min="13" max="13" width="11.787037037037" style="1" customWidth="1"/>
    <col min="14" max="14" width="11" style="1" customWidth="1"/>
    <col min="15" max="15" width="13" style="1" customWidth="1"/>
    <col min="16" max="16" width="8.88888888888889" style="1"/>
    <col min="17" max="17" width="10.3333333333333" style="1" customWidth="1"/>
    <col min="18" max="16384" width="8.88888888888889" style="1"/>
  </cols>
  <sheetData>
    <row r="1" ht="40.2" customHeight="1" spans="1:17">
      <c r="A1" s="132" t="s">
        <v>26</v>
      </c>
      <c r="B1" s="132"/>
      <c r="C1" s="132"/>
      <c r="D1" s="132"/>
      <c r="E1" s="132"/>
      <c r="F1" s="132"/>
      <c r="G1" s="132"/>
      <c r="H1" s="132"/>
      <c r="I1" s="132"/>
      <c r="J1" s="144"/>
      <c r="K1" s="132"/>
      <c r="L1" s="132"/>
      <c r="M1" s="132"/>
      <c r="N1" s="132"/>
      <c r="O1" s="132"/>
      <c r="P1" s="132"/>
      <c r="Q1" s="132"/>
    </row>
    <row r="2" ht="43.2" customHeight="1" spans="1:17">
      <c r="A2" s="33" t="s">
        <v>22</v>
      </c>
      <c r="B2" s="26" t="s">
        <v>1</v>
      </c>
      <c r="C2" s="26"/>
      <c r="D2" s="26"/>
      <c r="E2" s="26"/>
      <c r="F2" s="26"/>
      <c r="G2" s="26"/>
      <c r="H2" s="26"/>
      <c r="I2" s="26"/>
      <c r="J2" s="145"/>
      <c r="K2" s="26"/>
      <c r="L2" s="26"/>
      <c r="M2" s="26"/>
      <c r="N2" s="26"/>
      <c r="O2" s="26"/>
      <c r="P2" s="26"/>
      <c r="Q2" s="13" t="s">
        <v>27</v>
      </c>
    </row>
    <row r="3" s="130" customFormat="1" ht="40" customHeight="1" spans="1:19">
      <c r="A3" s="133" t="s">
        <v>28</v>
      </c>
      <c r="B3" s="4" t="s">
        <v>29</v>
      </c>
      <c r="C3" s="4" t="s">
        <v>30</v>
      </c>
      <c r="D3" s="134" t="s">
        <v>31</v>
      </c>
      <c r="E3" s="134"/>
      <c r="F3" s="134"/>
      <c r="G3" s="134"/>
      <c r="H3" s="134"/>
      <c r="I3" s="134"/>
      <c r="J3" s="146"/>
      <c r="K3" s="147" t="s">
        <v>32</v>
      </c>
      <c r="L3" s="148" t="s">
        <v>33</v>
      </c>
      <c r="M3" s="148"/>
      <c r="N3" s="148"/>
      <c r="O3" s="140" t="s">
        <v>34</v>
      </c>
      <c r="P3" s="148"/>
      <c r="Q3" s="161" t="s">
        <v>35</v>
      </c>
      <c r="R3" s="162"/>
      <c r="S3" s="162"/>
    </row>
    <row r="4" s="130" customFormat="1" ht="40" customHeight="1" spans="1:19">
      <c r="A4" s="135"/>
      <c r="B4" s="4"/>
      <c r="C4" s="4"/>
      <c r="D4" s="136" t="s">
        <v>36</v>
      </c>
      <c r="E4" s="136" t="s">
        <v>37</v>
      </c>
      <c r="F4" s="136" t="s">
        <v>38</v>
      </c>
      <c r="G4" s="136" t="s">
        <v>39</v>
      </c>
      <c r="H4" s="136" t="s">
        <v>40</v>
      </c>
      <c r="I4" s="136" t="s">
        <v>41</v>
      </c>
      <c r="J4" s="149" t="s">
        <v>42</v>
      </c>
      <c r="K4" s="147"/>
      <c r="L4" s="136" t="s">
        <v>43</v>
      </c>
      <c r="M4" s="136" t="s">
        <v>44</v>
      </c>
      <c r="N4" s="136" t="s">
        <v>45</v>
      </c>
      <c r="O4" s="136" t="s">
        <v>46</v>
      </c>
      <c r="P4" s="136" t="s">
        <v>47</v>
      </c>
      <c r="Q4" s="161"/>
      <c r="R4" s="162"/>
      <c r="S4" s="162"/>
    </row>
    <row r="5" s="130" customFormat="1" ht="40" customHeight="1" spans="1:17">
      <c r="A5" s="137">
        <v>1</v>
      </c>
      <c r="B5" s="6" t="s">
        <v>48</v>
      </c>
      <c r="C5" s="9">
        <f>'[1]附表A-3建设任务按行政区划统计表'!$E$5</f>
        <v>76.66</v>
      </c>
      <c r="D5" s="138">
        <f>'D1-1 分部分项工程量清单计价表【集约人工林栽培‖ZL型】'!M26/0.85</f>
        <v>4043.7202</v>
      </c>
      <c r="E5" s="138"/>
      <c r="F5" s="138"/>
      <c r="G5" s="139">
        <f>'D1-1 分部分项工程量清单计价表【集约人工林栽培‖ZL型】'!P27/0.85</f>
        <v>80.8705882352941</v>
      </c>
      <c r="H5" s="139">
        <f>'D1-1 分部分项工程量清单计价表【集约人工林栽培‖ZL型】'!Q27/0.85</f>
        <v>202.188235294118</v>
      </c>
      <c r="I5" s="150">
        <f>D5+E5+F5+G5+H5</f>
        <v>4326.77902352941</v>
      </c>
      <c r="J5" s="21">
        <f>I5*0.85</f>
        <v>3677.76217</v>
      </c>
      <c r="K5" s="151">
        <f>80.44-M5</f>
        <v>4.64</v>
      </c>
      <c r="L5" s="150">
        <v>49.5</v>
      </c>
      <c r="M5" s="150">
        <v>75.8</v>
      </c>
      <c r="N5" s="150">
        <v>114.23</v>
      </c>
      <c r="O5" s="152">
        <v>3921.93217</v>
      </c>
      <c r="P5" s="152">
        <f>O5/C5</f>
        <v>51.1600857031046</v>
      </c>
      <c r="Q5" s="163"/>
    </row>
    <row r="6" s="130" customFormat="1" ht="40" customHeight="1" spans="1:17">
      <c r="A6" s="137">
        <v>2</v>
      </c>
      <c r="B6" s="6" t="s">
        <v>49</v>
      </c>
      <c r="C6" s="9">
        <f>'[1]附表A-3建设任务按行政区划统计表'!$P$5</f>
        <v>1165.55</v>
      </c>
      <c r="D6" s="139">
        <f>'D1-1 分部分项工程量清单计价表【中幼龄林抚育‖FY】'!M35/0.85</f>
        <v>1259083.047</v>
      </c>
      <c r="E6" s="139"/>
      <c r="F6" s="139"/>
      <c r="G6" s="139">
        <f>'D1-1 分部分项工程量清单计价表【中幼龄林抚育‖FY】'!P35/0.85</f>
        <v>25181.6705882353</v>
      </c>
      <c r="H6" s="139">
        <f>'D1-1 分部分项工程量清单计价表【中幼龄林抚育‖FY】'!Q35/0.85</f>
        <v>62954.1411764706</v>
      </c>
      <c r="I6" s="150">
        <f>D6+E6+F6+G6+H6</f>
        <v>1347218.85876471</v>
      </c>
      <c r="J6" s="21">
        <f>I6*0.85</f>
        <v>1145136.02995</v>
      </c>
      <c r="K6" s="153">
        <f>25043.16-M6</f>
        <v>1444.8</v>
      </c>
      <c r="L6" s="154">
        <v>15411.17</v>
      </c>
      <c r="M6" s="154">
        <v>23598.36</v>
      </c>
      <c r="N6" s="154">
        <v>35567.72</v>
      </c>
      <c r="O6" s="155">
        <v>1221158.07995</v>
      </c>
      <c r="P6" s="155">
        <v>1047.71</v>
      </c>
      <c r="Q6" s="164"/>
    </row>
    <row r="7" s="130" customFormat="1" ht="40" customHeight="1" spans="1:17">
      <c r="A7" s="137">
        <v>3</v>
      </c>
      <c r="B7" s="6" t="s">
        <v>50</v>
      </c>
      <c r="C7" s="9">
        <f>'[1]附表A-3建设任务按行政区划统计表'!$I$5</f>
        <v>3773.7</v>
      </c>
      <c r="D7" s="139">
        <f>'D1-1 分部分项工程量清单计价表【现有林改培‖GP】'!M34/0.85</f>
        <v>4259769.5086</v>
      </c>
      <c r="E7" s="139"/>
      <c r="F7" s="139"/>
      <c r="G7" s="139">
        <f>'D1-1 分部分项工程量清单计价表【现有林改培‖GP】'!P34/0.85</f>
        <v>85195.3764705882</v>
      </c>
      <c r="H7" s="139">
        <f>'D1-1 分部分项工程量清单计价表【现有林改培‖GP】'!Q34/0.85</f>
        <v>212988.482352941</v>
      </c>
      <c r="I7" s="150">
        <f>D7+E7+F7+G7+H7</f>
        <v>4557953.36742353</v>
      </c>
      <c r="J7" s="21">
        <f>I7*0.85</f>
        <v>3874260.36231</v>
      </c>
      <c r="K7" s="153">
        <f>84726.8-M7</f>
        <v>4888.09</v>
      </c>
      <c r="L7" s="154">
        <v>52139.58</v>
      </c>
      <c r="M7" s="154">
        <v>79838.71</v>
      </c>
      <c r="N7" s="154">
        <f>120333.79</f>
        <v>120333.79</v>
      </c>
      <c r="O7" s="155">
        <v>4131460.53231</v>
      </c>
      <c r="P7" s="155">
        <v>1094.8</v>
      </c>
      <c r="Q7" s="164"/>
    </row>
    <row r="8" s="130" customFormat="1" ht="39" customHeight="1" spans="1:17">
      <c r="A8" s="137">
        <v>4</v>
      </c>
      <c r="B8" s="140" t="s">
        <v>51</v>
      </c>
      <c r="C8" s="141">
        <f>SUM(C5:C7)</f>
        <v>5015.91</v>
      </c>
      <c r="D8" s="142">
        <f>SUM(D5:D7)</f>
        <v>5522896.2758</v>
      </c>
      <c r="E8" s="142">
        <f>SUM(E5:E7)</f>
        <v>0</v>
      </c>
      <c r="F8" s="142">
        <f>SUM(F5:F7)</f>
        <v>0</v>
      </c>
      <c r="G8" s="142">
        <f>SUM(G5:G7)</f>
        <v>110457.917647059</v>
      </c>
      <c r="H8" s="142">
        <f>SUM(H5:H7)</f>
        <v>276144.811764706</v>
      </c>
      <c r="I8" s="142">
        <f>SUM(I5:I7)</f>
        <v>5909499.00521176</v>
      </c>
      <c r="J8" s="156">
        <f>SUM(J5:J7)</f>
        <v>5023074.15443</v>
      </c>
      <c r="K8" s="157">
        <f>SUM(K5:K7)</f>
        <v>6337.53</v>
      </c>
      <c r="L8" s="142">
        <f>SUM(L5:L7)</f>
        <v>67600.25</v>
      </c>
      <c r="M8" s="142">
        <f>SUM(M5:M7)</f>
        <v>103512.87</v>
      </c>
      <c r="N8" s="142">
        <f>SUM(N5:N7)</f>
        <v>156015.74</v>
      </c>
      <c r="O8" s="142">
        <f>SUM(O5:O7)</f>
        <v>5356540.54443</v>
      </c>
      <c r="P8" s="142"/>
      <c r="Q8" s="165"/>
    </row>
    <row r="9" ht="114" customHeight="1" spans="1:17">
      <c r="A9" s="143" t="s">
        <v>52</v>
      </c>
      <c r="B9" s="143"/>
      <c r="C9" s="143"/>
      <c r="D9" s="143"/>
      <c r="E9" s="143"/>
      <c r="F9" s="143"/>
      <c r="G9" s="143"/>
      <c r="H9" s="143"/>
      <c r="I9" s="143"/>
      <c r="J9" s="19"/>
      <c r="K9" s="158"/>
      <c r="L9" s="143"/>
      <c r="M9" s="143"/>
      <c r="N9" s="143"/>
      <c r="O9" s="143"/>
      <c r="P9" s="143"/>
      <c r="Q9" s="143"/>
    </row>
    <row r="10" ht="19.95" customHeight="1" spans="1:13">
      <c r="A10" s="28"/>
      <c r="B10" s="28"/>
      <c r="C10" s="28"/>
      <c r="D10" s="28"/>
      <c r="E10" s="28"/>
      <c r="F10" s="28"/>
      <c r="G10" s="28"/>
      <c r="H10" s="28"/>
      <c r="I10" s="28"/>
      <c r="J10" s="159"/>
      <c r="K10" s="160"/>
      <c r="L10" s="28"/>
      <c r="M10" s="28"/>
    </row>
  </sheetData>
  <mergeCells count="14">
    <mergeCell ref="A1:Q1"/>
    <mergeCell ref="B2:P2"/>
    <mergeCell ref="D3:J3"/>
    <mergeCell ref="L3:N3"/>
    <mergeCell ref="O3:P3"/>
    <mergeCell ref="A9:Q9"/>
    <mergeCell ref="A10:M10"/>
    <mergeCell ref="A3:A4"/>
    <mergeCell ref="B3:B4"/>
    <mergeCell ref="C3:C4"/>
    <mergeCell ref="K3:K4"/>
    <mergeCell ref="Q3:Q4"/>
    <mergeCell ref="R3:R4"/>
    <mergeCell ref="S3:S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showZeros="0" workbookViewId="0">
      <selection activeCell="M30" sqref="M30"/>
    </sheetView>
  </sheetViews>
  <sheetFormatPr defaultColWidth="8.88888888888889" defaultRowHeight="14.4"/>
  <cols>
    <col min="1" max="1" width="5.78703703703704" style="1" customWidth="1"/>
    <col min="2" max="2" width="8.88888888888889" style="1"/>
    <col min="3" max="3" width="18.212962962963" style="1" customWidth="1"/>
    <col min="4" max="4" width="6" style="1" customWidth="1"/>
    <col min="5" max="5" width="8" style="1" customWidth="1"/>
    <col min="6" max="6" width="10.212962962963" style="1" customWidth="1"/>
    <col min="7" max="8" width="8.66666666666667" style="1" customWidth="1"/>
    <col min="9" max="9" width="7.21296296296296" style="1" customWidth="1"/>
    <col min="10" max="11" width="8.66666666666667" style="1" customWidth="1"/>
    <col min="12" max="14" width="9.88888888888889" style="1" customWidth="1"/>
    <col min="15" max="15" width="8.11111111111111" style="1" customWidth="1"/>
    <col min="16" max="17" width="9.88888888888889" style="1" customWidth="1"/>
    <col min="18" max="16384" width="8.88888888888889" style="1"/>
  </cols>
  <sheetData>
    <row r="1" ht="46.2" customHeight="1" spans="1:17">
      <c r="A1" s="14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ht="41.4" customHeight="1" spans="1:12">
      <c r="A2" s="68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7">
      <c r="A3" s="4" t="s">
        <v>28</v>
      </c>
      <c r="B3" s="4" t="s">
        <v>55</v>
      </c>
      <c r="C3" s="4" t="s">
        <v>56</v>
      </c>
      <c r="D3" s="4" t="s">
        <v>57</v>
      </c>
      <c r="E3" s="4" t="s">
        <v>58</v>
      </c>
      <c r="F3" s="4" t="s">
        <v>59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4"/>
      <c r="B4" s="4"/>
      <c r="C4" s="4" t="s">
        <v>0</v>
      </c>
      <c r="D4" s="4" t="s">
        <v>0</v>
      </c>
      <c r="E4" s="4" t="s">
        <v>0</v>
      </c>
      <c r="F4" s="4" t="s">
        <v>60</v>
      </c>
      <c r="G4" s="4"/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</row>
    <row r="5" spans="1:17">
      <c r="A5" s="4"/>
      <c r="B5" s="4"/>
      <c r="C5" s="4"/>
      <c r="D5" s="4"/>
      <c r="E5" s="4"/>
      <c r="F5" s="4" t="s">
        <v>62</v>
      </c>
      <c r="G5" s="4" t="s">
        <v>63</v>
      </c>
      <c r="H5" s="4" t="s">
        <v>64</v>
      </c>
      <c r="I5" s="4" t="s">
        <v>65</v>
      </c>
      <c r="J5" s="4" t="s">
        <v>66</v>
      </c>
      <c r="K5" s="4" t="s">
        <v>67</v>
      </c>
      <c r="L5" s="4" t="s">
        <v>62</v>
      </c>
      <c r="M5" s="4" t="s">
        <v>63</v>
      </c>
      <c r="N5" s="4" t="s">
        <v>64</v>
      </c>
      <c r="O5" s="4" t="s">
        <v>65</v>
      </c>
      <c r="P5" s="4" t="s">
        <v>66</v>
      </c>
      <c r="Q5" s="4" t="s">
        <v>67</v>
      </c>
    </row>
    <row r="6" ht="19.95" customHeight="1" spans="1:17">
      <c r="A6" s="4" t="s">
        <v>68</v>
      </c>
      <c r="B6" s="5" t="s">
        <v>69</v>
      </c>
      <c r="C6" s="6" t="str">
        <f>"集约造林模型"&amp;'[1]附表C-2营造林技术经济指标表'!$F$3</f>
        <v>集约造林模型ZL01-1</v>
      </c>
      <c r="D6" s="4" t="s">
        <v>70</v>
      </c>
      <c r="E6" s="9">
        <f>'[1]附表C-6营造林工程投资概算'!$D$8</f>
        <v>13.5</v>
      </c>
      <c r="F6" s="128">
        <f>ROUND(L6/$E6,2)</f>
        <v>48.15</v>
      </c>
      <c r="G6" s="9">
        <f t="shared" ref="G6:K6" si="0">ROUND(M6/$E6,2)</f>
        <v>45</v>
      </c>
      <c r="H6" s="9">
        <f t="shared" si="0"/>
        <v>0</v>
      </c>
      <c r="I6" s="9">
        <f t="shared" si="0"/>
        <v>0</v>
      </c>
      <c r="J6" s="9">
        <f t="shared" si="0"/>
        <v>0.9</v>
      </c>
      <c r="K6" s="9">
        <f t="shared" si="0"/>
        <v>2.25</v>
      </c>
      <c r="L6" s="19">
        <f>'D3-3 分部分项工程量清单综合单价计算表(分页不带材料)~1'!K17</f>
        <v>650.01568</v>
      </c>
      <c r="M6" s="129">
        <f>'D3-3 分部分项工程量清单综合单价计算表(分页不带材料)~1'!F17</f>
        <v>607.49568</v>
      </c>
      <c r="N6" s="129">
        <f>'D3-3 分部分项工程量清单综合单价计算表(分页不带材料)~1'!G17</f>
        <v>0</v>
      </c>
      <c r="O6" s="129">
        <f>'D3-3 分部分项工程量清单综合单价计算表(分页不带材料)~1'!H17</f>
        <v>0</v>
      </c>
      <c r="P6" s="129">
        <f>'D3-3 分部分项工程量清单综合单价计算表(分页不带材料)~1'!I17</f>
        <v>12.15</v>
      </c>
      <c r="Q6" s="129">
        <f>'D3-3 分部分项工程量清单综合单价计算表(分页不带材料)~1'!J17</f>
        <v>30.37</v>
      </c>
    </row>
    <row r="7" ht="19.95" customHeight="1" spans="1:17">
      <c r="A7" s="4" t="s">
        <v>71</v>
      </c>
      <c r="B7" s="5" t="s">
        <v>72</v>
      </c>
      <c r="C7" s="6" t="str">
        <f>"集约造林模型"&amp;'[1]附表C-2营造林技术经济指标表'!$G$3</f>
        <v>集约造林模型ZL01-2</v>
      </c>
      <c r="D7" s="4" t="s">
        <v>70</v>
      </c>
      <c r="E7" s="9">
        <f>'[1]附表C-6营造林工程投资概算'!$D$9</f>
        <v>62.71</v>
      </c>
      <c r="F7" s="128">
        <f t="shared" ref="F7:F8" si="1">ROUND(L7/$E7,2)</f>
        <v>48.15</v>
      </c>
      <c r="G7" s="9">
        <f t="shared" ref="G7:G8" si="2">ROUND(M7/$E7,2)</f>
        <v>45</v>
      </c>
      <c r="H7" s="9">
        <f t="shared" ref="H7:H8" si="3">ROUND(N7/$E7,2)</f>
        <v>0</v>
      </c>
      <c r="I7" s="9"/>
      <c r="J7" s="9">
        <f t="shared" ref="J7:J8" si="4">ROUND(P7/$E7,2)</f>
        <v>0.9</v>
      </c>
      <c r="K7" s="9">
        <f t="shared" ref="K7:K8" si="5">ROUND(Q7/$E7,2)</f>
        <v>2.25</v>
      </c>
      <c r="L7" s="19">
        <f>'D3-3 分部分项工程量清单综合单价计算表(分页不带材料)~1'!K36</f>
        <v>3019.47217</v>
      </c>
      <c r="M7" s="129">
        <f>'D3-3 分部分项工程量清单综合单价计算表(分页不带材料)~1'!F36</f>
        <v>2821.93217</v>
      </c>
      <c r="N7" s="129">
        <f>'D3-3 分部分项工程量清单综合单价计算表(分页不带材料)~1'!G36</f>
        <v>0</v>
      </c>
      <c r="O7" s="129" t="str">
        <f>'D3-3 分部分项工程量清单综合单价计算表(分页不带材料)~1'!H36</f>
        <v/>
      </c>
      <c r="P7" s="129">
        <f>'D3-3 分部分项工程量清单综合单价计算表(分页不带材料)~1'!I36</f>
        <v>56.44</v>
      </c>
      <c r="Q7" s="129">
        <f>'D3-3 分部分项工程量清单综合单价计算表(分页不带材料)~1'!J36</f>
        <v>141.1</v>
      </c>
    </row>
    <row r="8" ht="19.95" customHeight="1" spans="1:17">
      <c r="A8" s="4" t="s">
        <v>73</v>
      </c>
      <c r="B8" s="5" t="s">
        <v>74</v>
      </c>
      <c r="C8" s="6" t="str">
        <f>"集约造林模型"&amp;'[1]附表C-2营造林技术经济指标表'!$H$3</f>
        <v>集约造林模型ZL02-1</v>
      </c>
      <c r="D8" s="4" t="s">
        <v>70</v>
      </c>
      <c r="E8" s="9">
        <f>'[1]附表C-6营造林工程投资概算'!$D$10</f>
        <v>0.45</v>
      </c>
      <c r="F8" s="7">
        <f t="shared" si="1"/>
        <v>18.39</v>
      </c>
      <c r="G8" s="9">
        <f t="shared" si="2"/>
        <v>17.19</v>
      </c>
      <c r="H8" s="9">
        <f t="shared" si="3"/>
        <v>0</v>
      </c>
      <c r="I8" s="9"/>
      <c r="J8" s="9">
        <f t="shared" si="4"/>
        <v>0.33</v>
      </c>
      <c r="K8" s="9">
        <f t="shared" si="5"/>
        <v>0.87</v>
      </c>
      <c r="L8" s="19">
        <f>'D3-3 分部分项工程量清单综合单价计算表(分页不带材料)~1'!K55</f>
        <v>8.27432</v>
      </c>
      <c r="M8" s="129">
        <f>'D3-3 分部分项工程量清单综合单价计算表(分页不带材料)~1'!F55</f>
        <v>7.73432</v>
      </c>
      <c r="N8" s="129">
        <f>'D3-3 分部分项工程量清单综合单价计算表(分页不带材料)~1'!G55</f>
        <v>0</v>
      </c>
      <c r="O8" s="129" t="str">
        <f>'D3-3 分部分项工程量清单综合单价计算表(分页不带材料)~1'!H55</f>
        <v/>
      </c>
      <c r="P8" s="129">
        <f>'D3-3 分部分项工程量清单综合单价计算表(分页不带材料)~1'!I55</f>
        <v>0.15</v>
      </c>
      <c r="Q8" s="129">
        <f>'D3-3 分部分项工程量清单综合单价计算表(分页不带材料)~1'!J55</f>
        <v>0.39</v>
      </c>
    </row>
    <row r="9" ht="19.95" customHeight="1" spans="1:17">
      <c r="A9" s="4"/>
      <c r="B9" s="5"/>
      <c r="C9" s="6"/>
      <c r="D9" s="4"/>
      <c r="E9" s="9"/>
      <c r="F9" s="9"/>
      <c r="G9" s="9"/>
      <c r="H9" s="9"/>
      <c r="I9" s="9"/>
      <c r="J9" s="9"/>
      <c r="K9" s="9"/>
      <c r="L9" s="9"/>
      <c r="M9" s="73"/>
      <c r="N9" s="73"/>
      <c r="O9" s="73"/>
      <c r="P9" s="73"/>
      <c r="Q9" s="73"/>
    </row>
    <row r="10" ht="19.95" customHeight="1" spans="1:17">
      <c r="A10" s="4"/>
      <c r="B10" s="5"/>
      <c r="C10" s="6"/>
      <c r="D10" s="4"/>
      <c r="E10" s="9"/>
      <c r="F10" s="9"/>
      <c r="G10" s="9"/>
      <c r="H10" s="9"/>
      <c r="I10" s="9"/>
      <c r="J10" s="9"/>
      <c r="K10" s="9"/>
      <c r="L10" s="9"/>
      <c r="M10" s="73"/>
      <c r="N10" s="73"/>
      <c r="O10" s="73"/>
      <c r="P10" s="73"/>
      <c r="Q10" s="73"/>
    </row>
    <row r="11" ht="19.95" customHeight="1" spans="1:17">
      <c r="A11" s="4"/>
      <c r="B11" s="5"/>
      <c r="C11" s="6"/>
      <c r="D11" s="4"/>
      <c r="E11" s="9"/>
      <c r="F11" s="9"/>
      <c r="G11" s="9"/>
      <c r="H11" s="9"/>
      <c r="I11" s="9"/>
      <c r="J11" s="9"/>
      <c r="K11" s="9"/>
      <c r="L11" s="9"/>
      <c r="M11" s="73"/>
      <c r="N11" s="73"/>
      <c r="O11" s="73"/>
      <c r="P11" s="73"/>
      <c r="Q11" s="73"/>
    </row>
    <row r="12" ht="19.95" customHeight="1" spans="1:17">
      <c r="A12" s="4"/>
      <c r="B12" s="5"/>
      <c r="C12" s="6"/>
      <c r="D12" s="4"/>
      <c r="E12" s="9"/>
      <c r="F12" s="9"/>
      <c r="G12" s="9"/>
      <c r="H12" s="9"/>
      <c r="I12" s="9"/>
      <c r="J12" s="9"/>
      <c r="K12" s="9"/>
      <c r="L12" s="9"/>
      <c r="M12" s="73"/>
      <c r="N12" s="73"/>
      <c r="O12" s="73"/>
      <c r="P12" s="73"/>
      <c r="Q12" s="73"/>
    </row>
    <row r="13" ht="19.95" customHeight="1" spans="1:17">
      <c r="A13" s="4"/>
      <c r="B13" s="5"/>
      <c r="C13" s="6"/>
      <c r="D13" s="4"/>
      <c r="E13" s="9"/>
      <c r="F13" s="9"/>
      <c r="G13" s="9"/>
      <c r="H13" s="9"/>
      <c r="I13" s="9"/>
      <c r="J13" s="9"/>
      <c r="K13" s="9"/>
      <c r="L13" s="9"/>
      <c r="M13" s="73"/>
      <c r="N13" s="73"/>
      <c r="O13" s="73"/>
      <c r="P13" s="73"/>
      <c r="Q13" s="73"/>
    </row>
    <row r="14" ht="19.95" customHeight="1" spans="1:17">
      <c r="A14" s="4"/>
      <c r="B14" s="5"/>
      <c r="C14" s="6"/>
      <c r="D14" s="4"/>
      <c r="E14" s="9"/>
      <c r="F14" s="9"/>
      <c r="G14" s="9"/>
      <c r="H14" s="9"/>
      <c r="I14" s="9"/>
      <c r="J14" s="9"/>
      <c r="K14" s="9"/>
      <c r="L14" s="9"/>
      <c r="M14" s="73"/>
      <c r="N14" s="73"/>
      <c r="O14" s="73"/>
      <c r="P14" s="73"/>
      <c r="Q14" s="73"/>
    </row>
    <row r="15" ht="19.95" customHeight="1" spans="1:17">
      <c r="A15" s="4"/>
      <c r="B15" s="5"/>
      <c r="C15" s="6"/>
      <c r="D15" s="4"/>
      <c r="E15" s="9"/>
      <c r="F15" s="9"/>
      <c r="G15" s="9"/>
      <c r="H15" s="9"/>
      <c r="I15" s="9"/>
      <c r="J15" s="9"/>
      <c r="K15" s="9"/>
      <c r="L15" s="9"/>
      <c r="M15" s="73"/>
      <c r="N15" s="73"/>
      <c r="O15" s="73"/>
      <c r="P15" s="73"/>
      <c r="Q15" s="73"/>
    </row>
    <row r="16" ht="19.95" customHeight="1" spans="1:17">
      <c r="A16" s="4"/>
      <c r="B16" s="5"/>
      <c r="C16" s="6"/>
      <c r="D16" s="4"/>
      <c r="E16" s="9"/>
      <c r="F16" s="9"/>
      <c r="G16" s="9"/>
      <c r="H16" s="9"/>
      <c r="I16" s="9"/>
      <c r="J16" s="9"/>
      <c r="K16" s="9"/>
      <c r="L16" s="9"/>
      <c r="M16" s="73"/>
      <c r="N16" s="73"/>
      <c r="O16" s="73"/>
      <c r="P16" s="73"/>
      <c r="Q16" s="73"/>
    </row>
    <row r="17" ht="19.95" customHeight="1" spans="1:17">
      <c r="A17" s="4"/>
      <c r="B17" s="5"/>
      <c r="C17" s="6"/>
      <c r="D17" s="4"/>
      <c r="E17" s="9"/>
      <c r="F17" s="9"/>
      <c r="G17" s="9"/>
      <c r="H17" s="9"/>
      <c r="I17" s="9"/>
      <c r="J17" s="9"/>
      <c r="K17" s="9"/>
      <c r="L17" s="9"/>
      <c r="M17" s="73"/>
      <c r="N17" s="73"/>
      <c r="O17" s="73"/>
      <c r="P17" s="73"/>
      <c r="Q17" s="73"/>
    </row>
    <row r="18" ht="19.95" customHeight="1" spans="1:17">
      <c r="A18" s="4"/>
      <c r="B18" s="5"/>
      <c r="C18" s="6"/>
      <c r="D18" s="4"/>
      <c r="E18" s="9"/>
      <c r="F18" s="9"/>
      <c r="G18" s="9"/>
      <c r="H18" s="9"/>
      <c r="I18" s="9"/>
      <c r="J18" s="9"/>
      <c r="K18" s="9"/>
      <c r="L18" s="9"/>
      <c r="M18" s="73"/>
      <c r="N18" s="73"/>
      <c r="O18" s="73"/>
      <c r="P18" s="73"/>
      <c r="Q18" s="73"/>
    </row>
    <row r="19" ht="19.95" customHeight="1" spans="1:17">
      <c r="A19" s="4"/>
      <c r="B19" s="5"/>
      <c r="C19" s="6"/>
      <c r="D19" s="4"/>
      <c r="E19" s="9"/>
      <c r="F19" s="9"/>
      <c r="G19" s="9"/>
      <c r="H19" s="9"/>
      <c r="I19" s="9"/>
      <c r="J19" s="9"/>
      <c r="K19" s="9"/>
      <c r="L19" s="9"/>
      <c r="M19" s="73"/>
      <c r="N19" s="73"/>
      <c r="O19" s="73"/>
      <c r="P19" s="73"/>
      <c r="Q19" s="73"/>
    </row>
    <row r="20" ht="19.95" customHeight="1" spans="1:17">
      <c r="A20" s="4"/>
      <c r="B20" s="5"/>
      <c r="C20" s="6"/>
      <c r="D20" s="4"/>
      <c r="E20" s="9"/>
      <c r="F20" s="9"/>
      <c r="G20" s="9"/>
      <c r="H20" s="9"/>
      <c r="I20" s="9"/>
      <c r="J20" s="9"/>
      <c r="K20" s="9"/>
      <c r="L20" s="9"/>
      <c r="M20" s="73"/>
      <c r="N20" s="73"/>
      <c r="O20" s="73"/>
      <c r="P20" s="73"/>
      <c r="Q20" s="73"/>
    </row>
    <row r="21" ht="19.95" customHeight="1" spans="1:17">
      <c r="A21" s="4"/>
      <c r="B21" s="5"/>
      <c r="C21" s="6"/>
      <c r="D21" s="4"/>
      <c r="E21" s="9"/>
      <c r="F21" s="9"/>
      <c r="G21" s="9"/>
      <c r="H21" s="9"/>
      <c r="I21" s="9"/>
      <c r="J21" s="9"/>
      <c r="K21" s="9"/>
      <c r="L21" s="9"/>
      <c r="M21" s="73"/>
      <c r="N21" s="73"/>
      <c r="O21" s="73"/>
      <c r="P21" s="73"/>
      <c r="Q21" s="73"/>
    </row>
    <row r="22" ht="19.95" customHeight="1" spans="1:17">
      <c r="A22" s="4"/>
      <c r="B22" s="5"/>
      <c r="C22" s="6"/>
      <c r="D22" s="4"/>
      <c r="E22" s="9"/>
      <c r="F22" s="9"/>
      <c r="G22" s="9"/>
      <c r="H22" s="9"/>
      <c r="I22" s="9"/>
      <c r="J22" s="9"/>
      <c r="K22" s="9"/>
      <c r="L22" s="9"/>
      <c r="M22" s="73"/>
      <c r="N22" s="73"/>
      <c r="O22" s="73"/>
      <c r="P22" s="73"/>
      <c r="Q22" s="73"/>
    </row>
    <row r="23" ht="19.95" customHeight="1" spans="1:17">
      <c r="A23" s="4"/>
      <c r="B23" s="5"/>
      <c r="C23" s="6"/>
      <c r="D23" s="4"/>
      <c r="E23" s="9"/>
      <c r="F23" s="9"/>
      <c r="G23" s="9"/>
      <c r="H23" s="9"/>
      <c r="I23" s="9"/>
      <c r="J23" s="9"/>
      <c r="K23" s="9"/>
      <c r="L23" s="9"/>
      <c r="M23" s="73"/>
      <c r="N23" s="73"/>
      <c r="O23" s="73"/>
      <c r="P23" s="73"/>
      <c r="Q23" s="73"/>
    </row>
    <row r="24" ht="19.95" customHeight="1" spans="1:17">
      <c r="A24" s="4"/>
      <c r="B24" s="5"/>
      <c r="C24" s="6"/>
      <c r="D24" s="4"/>
      <c r="E24" s="9"/>
      <c r="F24" s="9"/>
      <c r="G24" s="9"/>
      <c r="H24" s="9"/>
      <c r="I24" s="9"/>
      <c r="J24" s="9"/>
      <c r="K24" s="9"/>
      <c r="L24" s="9"/>
      <c r="M24" s="73"/>
      <c r="N24" s="73"/>
      <c r="O24" s="73"/>
      <c r="P24" s="73"/>
      <c r="Q24" s="73"/>
    </row>
    <row r="25" ht="19.95" customHeight="1" spans="1:17">
      <c r="A25" s="4"/>
      <c r="B25" s="5"/>
      <c r="C25" s="6"/>
      <c r="D25" s="4"/>
      <c r="E25" s="9"/>
      <c r="F25" s="9"/>
      <c r="G25" s="9"/>
      <c r="H25" s="9"/>
      <c r="I25" s="9"/>
      <c r="J25" s="9"/>
      <c r="K25" s="9"/>
      <c r="L25" s="9"/>
      <c r="M25" s="73"/>
      <c r="N25" s="73"/>
      <c r="O25" s="73"/>
      <c r="P25" s="73"/>
      <c r="Q25" s="73"/>
    </row>
    <row r="26" ht="19.95" customHeight="1" spans="1:17">
      <c r="A26" s="69" t="s">
        <v>0</v>
      </c>
      <c r="B26" s="70" t="s">
        <v>0</v>
      </c>
      <c r="C26" s="4" t="s">
        <v>75</v>
      </c>
      <c r="D26" s="69" t="s">
        <v>0</v>
      </c>
      <c r="E26" s="69" t="s">
        <v>0</v>
      </c>
      <c r="F26" s="69" t="s">
        <v>0</v>
      </c>
      <c r="G26" s="4"/>
      <c r="H26" s="4"/>
      <c r="I26" s="4"/>
      <c r="J26" s="4"/>
      <c r="K26" s="4"/>
      <c r="L26" s="19">
        <f t="shared" ref="L26:Q26" si="6">SUM(L6:L25)</f>
        <v>3677.76217</v>
      </c>
      <c r="M26" s="19">
        <f t="shared" si="6"/>
        <v>3437.16217</v>
      </c>
      <c r="N26" s="19">
        <f t="shared" si="6"/>
        <v>0</v>
      </c>
      <c r="O26" s="19">
        <f t="shared" si="6"/>
        <v>0</v>
      </c>
      <c r="P26" s="19">
        <f t="shared" si="6"/>
        <v>68.74</v>
      </c>
      <c r="Q26" s="19">
        <f t="shared" si="6"/>
        <v>171.86</v>
      </c>
    </row>
    <row r="27" ht="19.95" customHeight="1" spans="1:17">
      <c r="A27" s="69" t="s">
        <v>0</v>
      </c>
      <c r="B27" s="70" t="s">
        <v>0</v>
      </c>
      <c r="C27" s="4" t="s">
        <v>76</v>
      </c>
      <c r="D27" s="69" t="s">
        <v>0</v>
      </c>
      <c r="E27" s="69" t="s">
        <v>0</v>
      </c>
      <c r="F27" s="69" t="s">
        <v>0</v>
      </c>
      <c r="G27" s="4"/>
      <c r="H27" s="4"/>
      <c r="I27" s="4"/>
      <c r="J27" s="4"/>
      <c r="K27" s="4"/>
      <c r="L27" s="21">
        <f>L26</f>
        <v>3677.76217</v>
      </c>
      <c r="M27" s="21">
        <f t="shared" ref="M27:Q27" si="7">M26</f>
        <v>3437.16217</v>
      </c>
      <c r="N27" s="9">
        <f t="shared" si="7"/>
        <v>0</v>
      </c>
      <c r="O27" s="9">
        <f t="shared" si="7"/>
        <v>0</v>
      </c>
      <c r="P27" s="9">
        <f t="shared" si="7"/>
        <v>68.74</v>
      </c>
      <c r="Q27" s="9">
        <f t="shared" si="7"/>
        <v>171.86</v>
      </c>
    </row>
    <row r="28" spans="1:1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customHeight="1" spans="1:17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</sheetData>
  <mergeCells count="11">
    <mergeCell ref="A1:Q1"/>
    <mergeCell ref="A2:L2"/>
    <mergeCell ref="F3:Q3"/>
    <mergeCell ref="F4:K4"/>
    <mergeCell ref="L4:Q4"/>
    <mergeCell ref="A29:Q29"/>
    <mergeCell ref="A3:A5"/>
    <mergeCell ref="B3:B5"/>
    <mergeCell ref="C3:C5"/>
    <mergeCell ref="D3:D5"/>
    <mergeCell ref="E3:E5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showZeros="0" workbookViewId="0">
      <selection activeCell="F8" sqref="F8"/>
    </sheetView>
  </sheetViews>
  <sheetFormatPr defaultColWidth="8.88888888888889" defaultRowHeight="14.4"/>
  <cols>
    <col min="1" max="1" width="6.66666666666667" style="105" customWidth="1"/>
    <col min="2" max="2" width="12.8888888888889" style="105" customWidth="1"/>
    <col min="3" max="3" width="24.8888888888889" style="105" customWidth="1"/>
    <col min="4" max="4" width="8.88888888888889" style="105"/>
    <col min="5" max="5" width="9" style="105" customWidth="1"/>
    <col min="6" max="7" width="12.1111111111111" style="105" customWidth="1"/>
    <col min="8" max="10" width="10.787037037037" style="105" customWidth="1"/>
    <col min="11" max="11" width="12.1111111111111" style="105" customWidth="1"/>
    <col min="12" max="12" width="8.88888888888889" style="105"/>
    <col min="13" max="13" width="9.55555555555556" style="105" customWidth="1"/>
    <col min="14" max="16384" width="8.88888888888889" style="105"/>
  </cols>
  <sheetData>
    <row r="1" ht="27.6" customHeight="1" spans="1:11">
      <c r="A1" s="106" t="s">
        <v>0</v>
      </c>
      <c r="B1" s="106" t="s">
        <v>0</v>
      </c>
      <c r="C1" s="107" t="s">
        <v>77</v>
      </c>
      <c r="D1" s="107"/>
      <c r="E1" s="107"/>
      <c r="F1" s="107"/>
      <c r="G1" s="107"/>
      <c r="H1" s="107"/>
      <c r="I1" s="107"/>
      <c r="J1" s="120" t="s">
        <v>78</v>
      </c>
      <c r="K1" s="120" t="s">
        <v>0</v>
      </c>
    </row>
    <row r="2" spans="1:11">
      <c r="A2" s="106" t="s">
        <v>79</v>
      </c>
      <c r="B2" s="106" t="s">
        <v>0</v>
      </c>
      <c r="C2" s="106" t="s">
        <v>0</v>
      </c>
      <c r="D2" s="106" t="s">
        <v>0</v>
      </c>
      <c r="E2" s="106" t="s">
        <v>0</v>
      </c>
      <c r="F2" s="106" t="s">
        <v>0</v>
      </c>
      <c r="G2" s="106" t="s">
        <v>0</v>
      </c>
      <c r="H2" s="106" t="s">
        <v>0</v>
      </c>
      <c r="I2" s="106" t="s">
        <v>0</v>
      </c>
      <c r="J2" s="106" t="s">
        <v>0</v>
      </c>
      <c r="K2" s="106" t="s">
        <v>0</v>
      </c>
    </row>
    <row r="3" spans="1:11">
      <c r="A3" s="108"/>
      <c r="B3" s="108" t="s">
        <v>22</v>
      </c>
      <c r="C3" s="109" t="s">
        <v>80</v>
      </c>
      <c r="D3" s="109" t="s">
        <v>0</v>
      </c>
      <c r="E3" s="109" t="s">
        <v>0</v>
      </c>
      <c r="F3" s="109" t="s">
        <v>0</v>
      </c>
      <c r="G3" s="109" t="s">
        <v>0</v>
      </c>
      <c r="H3" s="109" t="s">
        <v>0</v>
      </c>
      <c r="I3" s="109" t="s">
        <v>0</v>
      </c>
      <c r="J3" s="109" t="s">
        <v>81</v>
      </c>
      <c r="K3" s="109" t="s">
        <v>0</v>
      </c>
    </row>
    <row r="4" customHeight="1" spans="2:11">
      <c r="B4" s="110" t="s">
        <v>82</v>
      </c>
      <c r="C4" s="109" t="s">
        <v>83</v>
      </c>
      <c r="D4" s="109" t="s">
        <v>0</v>
      </c>
      <c r="E4" s="109" t="s">
        <v>0</v>
      </c>
      <c r="F4" s="109" t="s">
        <v>0</v>
      </c>
      <c r="G4" s="109" t="s">
        <v>0</v>
      </c>
      <c r="H4" s="109" t="s">
        <v>0</v>
      </c>
      <c r="I4" s="109" t="s">
        <v>0</v>
      </c>
      <c r="J4" s="109" t="str">
        <f>"工程数量："&amp;'[1]附表C-6营造林工程投资概算'!$D$8</f>
        <v>工程数量：13.5</v>
      </c>
      <c r="K4" s="109" t="s">
        <v>0</v>
      </c>
    </row>
    <row r="5" customHeight="1" spans="2:11">
      <c r="B5" s="110" t="s">
        <v>84</v>
      </c>
      <c r="C5" s="109" t="s">
        <v>85</v>
      </c>
      <c r="D5" s="109" t="s">
        <v>0</v>
      </c>
      <c r="E5" s="109" t="s">
        <v>0</v>
      </c>
      <c r="F5" s="109" t="s">
        <v>0</v>
      </c>
      <c r="G5" s="109" t="s">
        <v>0</v>
      </c>
      <c r="H5" s="109" t="s">
        <v>0</v>
      </c>
      <c r="I5" s="109" t="s">
        <v>0</v>
      </c>
      <c r="J5" s="109" t="str">
        <f>"综合单价："&amp;$M$17&amp;"元"</f>
        <v>综合单价：48.15元</v>
      </c>
      <c r="K5" s="109" t="s">
        <v>0</v>
      </c>
    </row>
    <row r="6" spans="1:11">
      <c r="A6" s="111" t="s">
        <v>28</v>
      </c>
      <c r="B6" s="111" t="s">
        <v>86</v>
      </c>
      <c r="C6" s="111" t="s">
        <v>87</v>
      </c>
      <c r="D6" s="111" t="s">
        <v>57</v>
      </c>
      <c r="E6" s="111" t="s">
        <v>88</v>
      </c>
      <c r="F6" s="111" t="s">
        <v>89</v>
      </c>
      <c r="G6" s="111" t="s">
        <v>0</v>
      </c>
      <c r="H6" s="111" t="s">
        <v>0</v>
      </c>
      <c r="I6" s="111" t="s">
        <v>0</v>
      </c>
      <c r="J6" s="111" t="s">
        <v>0</v>
      </c>
      <c r="K6" s="111" t="s">
        <v>0</v>
      </c>
    </row>
    <row r="7" spans="1:13">
      <c r="A7" s="111" t="s">
        <v>0</v>
      </c>
      <c r="B7" s="111" t="s">
        <v>0</v>
      </c>
      <c r="C7" s="111" t="s">
        <v>0</v>
      </c>
      <c r="D7" s="111" t="s">
        <v>0</v>
      </c>
      <c r="E7" s="111" t="s">
        <v>0</v>
      </c>
      <c r="F7" s="112" t="s">
        <v>63</v>
      </c>
      <c r="G7" s="111" t="s">
        <v>64</v>
      </c>
      <c r="H7" s="111" t="s">
        <v>65</v>
      </c>
      <c r="I7" s="111" t="s">
        <v>66</v>
      </c>
      <c r="J7" s="111" t="s">
        <v>67</v>
      </c>
      <c r="K7" s="111" t="s">
        <v>90</v>
      </c>
      <c r="M7" s="126"/>
    </row>
    <row r="8" spans="1:11">
      <c r="A8" s="111" t="s">
        <v>68</v>
      </c>
      <c r="B8" s="111" t="str">
        <f>'[1]附表C-6营造林工程投资概算'!$B$8&amp;"-QL"</f>
        <v>ZL01-1-QL</v>
      </c>
      <c r="C8" s="113" t="s">
        <v>91</v>
      </c>
      <c r="D8" s="111" t="s">
        <v>70</v>
      </c>
      <c r="E8" s="114">
        <f>'[1]附表C-6营造林工程投资概算'!$D$8</f>
        <v>13.5</v>
      </c>
      <c r="F8" s="115">
        <f>ROUND($E8*'[1]附表C-2营造林技术经济指标表'!$F$116,2)*0.94*0.85</f>
        <v>607.49568</v>
      </c>
      <c r="G8" s="116" t="s">
        <v>0</v>
      </c>
      <c r="H8" s="116" t="s">
        <v>0</v>
      </c>
      <c r="I8" s="116">
        <f>ROUND(F8*0.02,2)</f>
        <v>12.15</v>
      </c>
      <c r="J8" s="116">
        <f>ROUND(F8*0.05,2)</f>
        <v>30.37</v>
      </c>
      <c r="K8" s="122">
        <f>SUM(F8:J8)</f>
        <v>650.01568</v>
      </c>
    </row>
    <row r="9" spans="1:11">
      <c r="A9" s="111" t="s">
        <v>71</v>
      </c>
      <c r="B9" s="111" t="str">
        <f>'[1]附表C-6营造林工程投资概算'!$B$8&amp;"-ZD"</f>
        <v>ZL01-1-ZD</v>
      </c>
      <c r="C9" s="113" t="s">
        <v>92</v>
      </c>
      <c r="D9" s="111" t="s">
        <v>70</v>
      </c>
      <c r="E9" s="114">
        <f>'[1]附表C-6营造林工程投资概算'!$D$8</f>
        <v>13.5</v>
      </c>
      <c r="F9" s="115"/>
      <c r="G9" s="116"/>
      <c r="H9" s="116"/>
      <c r="I9" s="116"/>
      <c r="J9" s="116"/>
      <c r="K9" s="122"/>
    </row>
    <row r="10" spans="1:11">
      <c r="A10" s="111" t="s">
        <v>73</v>
      </c>
      <c r="B10" s="111" t="str">
        <f>'[1]附表C-6营造林工程投资概算'!$B$8&amp;"-SJF"</f>
        <v>ZL01-1-SJF</v>
      </c>
      <c r="C10" s="113" t="s">
        <v>93</v>
      </c>
      <c r="D10" s="111" t="s">
        <v>70</v>
      </c>
      <c r="E10" s="114">
        <f>'[1]附表C-6营造林工程投资概算'!$D$8</f>
        <v>13.5</v>
      </c>
      <c r="F10" s="115"/>
      <c r="G10" s="116"/>
      <c r="H10" s="116"/>
      <c r="I10" s="116"/>
      <c r="J10" s="116"/>
      <c r="K10" s="122"/>
    </row>
    <row r="11" spans="1:11">
      <c r="A11" s="111" t="s">
        <v>94</v>
      </c>
      <c r="B11" s="111" t="str">
        <f>'[1]附表C-6营造林工程投资概算'!$B$8&amp;"-FZCS"</f>
        <v>ZL01-1-FZCS</v>
      </c>
      <c r="C11" s="113" t="s">
        <v>95</v>
      </c>
      <c r="D11" s="111" t="s">
        <v>70</v>
      </c>
      <c r="E11" s="114">
        <f>'[1]附表C-6营造林工程投资概算'!$D$8</f>
        <v>13.5</v>
      </c>
      <c r="F11" s="115"/>
      <c r="G11" s="115"/>
      <c r="H11" s="116"/>
      <c r="I11" s="116"/>
      <c r="J11" s="116"/>
      <c r="K11" s="122"/>
    </row>
    <row r="12" spans="1:11">
      <c r="A12" s="111" t="s">
        <v>96</v>
      </c>
      <c r="B12" s="111" t="str">
        <f>'[1]附表C-6营造林工程投资概算'!$B$8&amp;"-ZL"</f>
        <v>ZL01-1-ZL</v>
      </c>
      <c r="C12" s="113" t="s">
        <v>97</v>
      </c>
      <c r="D12" s="111" t="s">
        <v>70</v>
      </c>
      <c r="E12" s="114">
        <f>'[1]附表C-6营造林工程投资概算'!$D$8</f>
        <v>13.5</v>
      </c>
      <c r="F12" s="115"/>
      <c r="G12" s="116"/>
      <c r="H12" s="116"/>
      <c r="I12" s="116"/>
      <c r="J12" s="116"/>
      <c r="K12" s="122"/>
    </row>
    <row r="13" spans="1:11">
      <c r="A13" s="111" t="s">
        <v>98</v>
      </c>
      <c r="B13" s="111" t="str">
        <f>'[1]附表C-6营造林工程投资概算'!$B$8&amp;"-ZF"</f>
        <v>ZL01-1-ZF</v>
      </c>
      <c r="C13" s="113" t="s">
        <v>99</v>
      </c>
      <c r="D13" s="111" t="s">
        <v>70</v>
      </c>
      <c r="E13" s="114">
        <f>'[1]附表C-6营造林工程投资概算'!$D$8</f>
        <v>13.5</v>
      </c>
      <c r="F13" s="115"/>
      <c r="G13" s="116"/>
      <c r="H13" s="116"/>
      <c r="I13" s="116"/>
      <c r="J13" s="116"/>
      <c r="K13" s="122"/>
    </row>
    <row r="14" spans="1:11">
      <c r="A14" s="111" t="s">
        <v>100</v>
      </c>
      <c r="B14" s="111" t="str">
        <f>'[1]附表C-6营造林工程投资概算'!$B$8&amp;"-BCHFZ"</f>
        <v>ZL01-1-BCHFZ</v>
      </c>
      <c r="C14" s="113" t="s">
        <v>101</v>
      </c>
      <c r="D14" s="111" t="s">
        <v>70</v>
      </c>
      <c r="E14" s="114">
        <f>'[1]附表C-6营造林工程投资概算'!$D$8</f>
        <v>13.5</v>
      </c>
      <c r="F14" s="115"/>
      <c r="G14" s="116"/>
      <c r="H14" s="116"/>
      <c r="I14" s="116"/>
      <c r="J14" s="116"/>
      <c r="K14" s="122"/>
    </row>
    <row r="15" spans="1:11">
      <c r="A15" s="111" t="s">
        <v>102</v>
      </c>
      <c r="B15" s="111" t="str">
        <f>'[1]附表C-6营造林工程投资概算'!$B$8&amp;"-FY"</f>
        <v>ZL01-1-FY</v>
      </c>
      <c r="C15" s="113" t="s">
        <v>103</v>
      </c>
      <c r="D15" s="111" t="s">
        <v>70</v>
      </c>
      <c r="E15" s="114">
        <f>'[1]附表C-6营造林工程投资概算'!$D$8</f>
        <v>13.5</v>
      </c>
      <c r="F15" s="115"/>
      <c r="G15" s="116"/>
      <c r="H15" s="116"/>
      <c r="I15" s="116"/>
      <c r="J15" s="116"/>
      <c r="K15" s="122"/>
    </row>
    <row r="16" spans="1:11">
      <c r="A16" s="111" t="s">
        <v>104</v>
      </c>
      <c r="B16" s="111" t="str">
        <f>'[1]附表C-6营造林工程投资概算'!$B$8&amp;"-GH"</f>
        <v>ZL01-1-GH</v>
      </c>
      <c r="C16" s="113" t="s">
        <v>105</v>
      </c>
      <c r="D16" s="111" t="s">
        <v>70</v>
      </c>
      <c r="E16" s="114">
        <f>'[1]附表C-6营造林工程投资概算'!$D$8</f>
        <v>13.5</v>
      </c>
      <c r="F16" s="115"/>
      <c r="G16" s="116"/>
      <c r="H16" s="116"/>
      <c r="I16" s="116"/>
      <c r="J16" s="116"/>
      <c r="K16" s="122"/>
    </row>
    <row r="17" spans="1:13">
      <c r="A17" s="111" t="s">
        <v>8</v>
      </c>
      <c r="B17" s="111" t="s">
        <v>8</v>
      </c>
      <c r="C17" s="111" t="s">
        <v>106</v>
      </c>
      <c r="D17" s="111" t="s">
        <v>8</v>
      </c>
      <c r="E17" s="114" t="s">
        <v>8</v>
      </c>
      <c r="F17" s="117">
        <f>SUM(F8:F16)</f>
        <v>607.49568</v>
      </c>
      <c r="G17" s="117">
        <f>SUM(G8:G16)</f>
        <v>0</v>
      </c>
      <c r="H17" s="117">
        <f t="shared" ref="H17:K17" si="0">SUM(H8:H16)</f>
        <v>0</v>
      </c>
      <c r="I17" s="117">
        <f t="shared" si="0"/>
        <v>12.15</v>
      </c>
      <c r="J17" s="117">
        <f t="shared" si="0"/>
        <v>30.37</v>
      </c>
      <c r="K17" s="117">
        <f t="shared" si="0"/>
        <v>650.01568</v>
      </c>
      <c r="M17" s="127">
        <f>ROUND(K17/E16,2)</f>
        <v>48.15</v>
      </c>
    </row>
    <row r="18" spans="1:11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</row>
    <row r="19" ht="216.6" customHeight="1" spans="1:12">
      <c r="A19" s="119" t="s">
        <v>0</v>
      </c>
      <c r="B19" s="119" t="s">
        <v>0</v>
      </c>
      <c r="C19" s="119" t="s">
        <v>0</v>
      </c>
      <c r="D19" s="119" t="s">
        <v>0</v>
      </c>
      <c r="E19" s="119" t="s">
        <v>0</v>
      </c>
      <c r="F19" s="119" t="s">
        <v>0</v>
      </c>
      <c r="G19" s="120"/>
      <c r="H19" s="120"/>
      <c r="I19" s="120"/>
      <c r="J19" s="120"/>
      <c r="K19" s="120"/>
      <c r="L19" s="108" t="s">
        <v>0</v>
      </c>
    </row>
    <row r="20" ht="34.8" customHeight="1" spans="1:11">
      <c r="A20" s="106" t="s">
        <v>0</v>
      </c>
      <c r="B20" s="106" t="s">
        <v>0</v>
      </c>
      <c r="C20" s="107" t="s">
        <v>77</v>
      </c>
      <c r="D20" s="107" t="s">
        <v>0</v>
      </c>
      <c r="E20" s="107" t="s">
        <v>0</v>
      </c>
      <c r="F20" s="107" t="s">
        <v>0</v>
      </c>
      <c r="G20" s="107" t="s">
        <v>0</v>
      </c>
      <c r="H20" s="107" t="s">
        <v>0</v>
      </c>
      <c r="I20" s="107" t="s">
        <v>0</v>
      </c>
      <c r="J20" s="120" t="s">
        <v>107</v>
      </c>
      <c r="K20" s="120" t="s">
        <v>0</v>
      </c>
    </row>
    <row r="21" spans="1:11">
      <c r="A21" s="106" t="s">
        <v>79</v>
      </c>
      <c r="B21" s="106" t="s">
        <v>0</v>
      </c>
      <c r="C21" s="106" t="s">
        <v>0</v>
      </c>
      <c r="D21" s="106" t="s">
        <v>0</v>
      </c>
      <c r="E21" s="106" t="s">
        <v>0</v>
      </c>
      <c r="F21" s="106" t="s">
        <v>0</v>
      </c>
      <c r="G21" s="106" t="s">
        <v>0</v>
      </c>
      <c r="H21" s="106" t="s">
        <v>0</v>
      </c>
      <c r="I21" s="106" t="s">
        <v>0</v>
      </c>
      <c r="J21" s="106" t="s">
        <v>0</v>
      </c>
      <c r="K21" s="106" t="s">
        <v>0</v>
      </c>
    </row>
    <row r="22" spans="1:11">
      <c r="A22" s="121" t="s">
        <v>108</v>
      </c>
      <c r="B22" s="121" t="s">
        <v>0</v>
      </c>
      <c r="C22" s="109" t="s">
        <v>80</v>
      </c>
      <c r="D22" s="109" t="s">
        <v>0</v>
      </c>
      <c r="E22" s="109" t="s">
        <v>0</v>
      </c>
      <c r="F22" s="109" t="s">
        <v>0</v>
      </c>
      <c r="G22" s="109" t="s">
        <v>0</v>
      </c>
      <c r="H22" s="109" t="s">
        <v>0</v>
      </c>
      <c r="I22" s="109" t="s">
        <v>0</v>
      </c>
      <c r="J22" s="109" t="s">
        <v>81</v>
      </c>
      <c r="K22" s="109" t="s">
        <v>0</v>
      </c>
    </row>
    <row r="23" spans="1:11">
      <c r="A23" s="121" t="s">
        <v>82</v>
      </c>
      <c r="B23" s="121" t="s">
        <v>0</v>
      </c>
      <c r="C23" s="109" t="s">
        <v>109</v>
      </c>
      <c r="D23" s="109" t="s">
        <v>0</v>
      </c>
      <c r="E23" s="109" t="s">
        <v>0</v>
      </c>
      <c r="F23" s="109" t="s">
        <v>0</v>
      </c>
      <c r="G23" s="109" t="s">
        <v>0</v>
      </c>
      <c r="H23" s="109" t="s">
        <v>0</v>
      </c>
      <c r="I23" s="109" t="s">
        <v>0</v>
      </c>
      <c r="J23" s="109" t="str">
        <f>"工程数量："&amp;'[1]附表C-6营造林工程投资概算'!$D$9</f>
        <v>工程数量：62.71</v>
      </c>
      <c r="K23" s="109" t="s">
        <v>0</v>
      </c>
    </row>
    <row r="24" spans="1:11">
      <c r="A24" s="121" t="s">
        <v>84</v>
      </c>
      <c r="B24" s="121" t="s">
        <v>0</v>
      </c>
      <c r="C24" s="109" t="s">
        <v>110</v>
      </c>
      <c r="D24" s="109" t="s">
        <v>0</v>
      </c>
      <c r="E24" s="109" t="s">
        <v>0</v>
      </c>
      <c r="F24" s="109" t="s">
        <v>0</v>
      </c>
      <c r="G24" s="109" t="s">
        <v>0</v>
      </c>
      <c r="H24" s="109" t="s">
        <v>0</v>
      </c>
      <c r="I24" s="109" t="s">
        <v>0</v>
      </c>
      <c r="J24" s="109" t="str">
        <f>"综合单价："&amp;$M$36&amp;"元 "</f>
        <v>综合单价：48.15元 </v>
      </c>
      <c r="K24" s="109" t="s">
        <v>0</v>
      </c>
    </row>
    <row r="25" spans="1:11">
      <c r="A25" s="111" t="s">
        <v>28</v>
      </c>
      <c r="B25" s="111" t="s">
        <v>86</v>
      </c>
      <c r="C25" s="111" t="s">
        <v>87</v>
      </c>
      <c r="D25" s="111" t="s">
        <v>57</v>
      </c>
      <c r="E25" s="111" t="s">
        <v>88</v>
      </c>
      <c r="F25" s="111" t="s">
        <v>89</v>
      </c>
      <c r="G25" s="111" t="s">
        <v>0</v>
      </c>
      <c r="H25" s="111" t="s">
        <v>0</v>
      </c>
      <c r="I25" s="111" t="s">
        <v>0</v>
      </c>
      <c r="J25" s="111" t="s">
        <v>0</v>
      </c>
      <c r="K25" s="111" t="s">
        <v>0</v>
      </c>
    </row>
    <row r="26" spans="1:11">
      <c r="A26" s="111" t="s">
        <v>0</v>
      </c>
      <c r="B26" s="111" t="s">
        <v>0</v>
      </c>
      <c r="C26" s="111" t="s">
        <v>0</v>
      </c>
      <c r="D26" s="111" t="s">
        <v>0</v>
      </c>
      <c r="E26" s="111" t="s">
        <v>0</v>
      </c>
      <c r="F26" s="112" t="s">
        <v>63</v>
      </c>
      <c r="G26" s="111" t="s">
        <v>64</v>
      </c>
      <c r="H26" s="111" t="s">
        <v>65</v>
      </c>
      <c r="I26" s="111" t="s">
        <v>66</v>
      </c>
      <c r="J26" s="111" t="s">
        <v>67</v>
      </c>
      <c r="K26" s="111" t="s">
        <v>90</v>
      </c>
    </row>
    <row r="27" spans="1:11">
      <c r="A27" s="111" t="s">
        <v>68</v>
      </c>
      <c r="B27" s="111" t="s">
        <v>111</v>
      </c>
      <c r="C27" s="113" t="s">
        <v>91</v>
      </c>
      <c r="D27" s="111" t="s">
        <v>70</v>
      </c>
      <c r="E27" s="114">
        <f>'[1]附表C-6营造林工程投资概算'!$D$9</f>
        <v>62.71</v>
      </c>
      <c r="F27" s="117">
        <f>ROUND($E27*'[1]附表C-2营造林技术经济指标表'!$G$116,2)*0.94*0.85</f>
        <v>2821.93217</v>
      </c>
      <c r="G27" s="114" t="s">
        <v>0</v>
      </c>
      <c r="H27" s="114" t="s">
        <v>0</v>
      </c>
      <c r="I27" s="116">
        <f>ROUND(F27*0.02,2)</f>
        <v>56.44</v>
      </c>
      <c r="J27" s="116">
        <f>ROUND(F27*0.05,2)</f>
        <v>141.1</v>
      </c>
      <c r="K27" s="122">
        <f>SUM(F27:J27)</f>
        <v>3019.47217</v>
      </c>
    </row>
    <row r="28" spans="1:11">
      <c r="A28" s="111" t="s">
        <v>71</v>
      </c>
      <c r="B28" s="111" t="s">
        <v>112</v>
      </c>
      <c r="C28" s="113" t="s">
        <v>92</v>
      </c>
      <c r="D28" s="111" t="s">
        <v>70</v>
      </c>
      <c r="E28" s="114">
        <f>'[1]附表C-6营造林工程投资概算'!$D$9</f>
        <v>62.71</v>
      </c>
      <c r="F28" s="117"/>
      <c r="G28" s="114"/>
      <c r="H28" s="114"/>
      <c r="I28" s="116"/>
      <c r="J28" s="116"/>
      <c r="K28" s="122"/>
    </row>
    <row r="29" spans="1:11">
      <c r="A29" s="111" t="s">
        <v>73</v>
      </c>
      <c r="B29" s="111" t="s">
        <v>113</v>
      </c>
      <c r="C29" s="113" t="s">
        <v>93</v>
      </c>
      <c r="D29" s="111" t="s">
        <v>70</v>
      </c>
      <c r="E29" s="114">
        <f>'[1]附表C-6营造林工程投资概算'!$D$9</f>
        <v>62.71</v>
      </c>
      <c r="F29" s="117"/>
      <c r="G29" s="114"/>
      <c r="H29" s="114"/>
      <c r="I29" s="116"/>
      <c r="J29" s="116"/>
      <c r="K29" s="122"/>
    </row>
    <row r="30" spans="1:11">
      <c r="A30" s="111" t="s">
        <v>94</v>
      </c>
      <c r="B30" s="111" t="s">
        <v>114</v>
      </c>
      <c r="C30" s="113" t="s">
        <v>95</v>
      </c>
      <c r="D30" s="111" t="s">
        <v>70</v>
      </c>
      <c r="E30" s="114">
        <f>'[1]附表C-6营造林工程投资概算'!$D$9</f>
        <v>62.71</v>
      </c>
      <c r="F30" s="117"/>
      <c r="G30" s="117"/>
      <c r="H30" s="114"/>
      <c r="I30" s="116"/>
      <c r="J30" s="116"/>
      <c r="K30" s="122"/>
    </row>
    <row r="31" spans="1:11">
      <c r="A31" s="111" t="s">
        <v>96</v>
      </c>
      <c r="B31" s="111" t="s">
        <v>115</v>
      </c>
      <c r="C31" s="113" t="s">
        <v>97</v>
      </c>
      <c r="D31" s="111" t="s">
        <v>70</v>
      </c>
      <c r="E31" s="114">
        <f>'[1]附表C-6营造林工程投资概算'!$D$9</f>
        <v>62.71</v>
      </c>
      <c r="F31" s="117"/>
      <c r="G31" s="122"/>
      <c r="H31" s="114"/>
      <c r="I31" s="116"/>
      <c r="J31" s="116"/>
      <c r="K31" s="122"/>
    </row>
    <row r="32" spans="1:11">
      <c r="A32" s="111" t="s">
        <v>98</v>
      </c>
      <c r="B32" s="111" t="s">
        <v>116</v>
      </c>
      <c r="C32" s="113" t="s">
        <v>99</v>
      </c>
      <c r="D32" s="111" t="s">
        <v>70</v>
      </c>
      <c r="E32" s="114">
        <f>'[1]附表C-6营造林工程投资概算'!$D$9</f>
        <v>62.71</v>
      </c>
      <c r="F32" s="117"/>
      <c r="G32" s="114"/>
      <c r="H32" s="114"/>
      <c r="I32" s="116"/>
      <c r="J32" s="116"/>
      <c r="K32" s="122"/>
    </row>
    <row r="33" spans="1:11">
      <c r="A33" s="111" t="s">
        <v>100</v>
      </c>
      <c r="B33" s="111" t="s">
        <v>117</v>
      </c>
      <c r="C33" s="113" t="s">
        <v>101</v>
      </c>
      <c r="D33" s="111" t="s">
        <v>70</v>
      </c>
      <c r="E33" s="114">
        <f>'[1]附表C-6营造林工程投资概算'!$D$9</f>
        <v>62.71</v>
      </c>
      <c r="F33" s="117"/>
      <c r="G33" s="122"/>
      <c r="H33" s="114"/>
      <c r="I33" s="116"/>
      <c r="J33" s="116"/>
      <c r="K33" s="122"/>
    </row>
    <row r="34" spans="1:11">
      <c r="A34" s="111" t="s">
        <v>102</v>
      </c>
      <c r="B34" s="111" t="s">
        <v>118</v>
      </c>
      <c r="C34" s="113" t="s">
        <v>103</v>
      </c>
      <c r="D34" s="111" t="s">
        <v>70</v>
      </c>
      <c r="E34" s="114">
        <f>'[1]附表C-6营造林工程投资概算'!$D$9</f>
        <v>62.71</v>
      </c>
      <c r="F34" s="117"/>
      <c r="G34" s="114"/>
      <c r="H34" s="114"/>
      <c r="I34" s="116"/>
      <c r="J34" s="116"/>
      <c r="K34" s="122"/>
    </row>
    <row r="35" spans="1:11">
      <c r="A35" s="111" t="s">
        <v>104</v>
      </c>
      <c r="B35" s="111" t="s">
        <v>119</v>
      </c>
      <c r="C35" s="113" t="s">
        <v>105</v>
      </c>
      <c r="D35" s="111" t="s">
        <v>70</v>
      </c>
      <c r="E35" s="114">
        <f>'[1]附表C-6营造林工程投资概算'!$D$9</f>
        <v>62.71</v>
      </c>
      <c r="F35" s="117"/>
      <c r="G35" s="114"/>
      <c r="H35" s="114"/>
      <c r="I35" s="116"/>
      <c r="J35" s="116"/>
      <c r="K35" s="122"/>
    </row>
    <row r="36" spans="1:13">
      <c r="A36" s="111" t="s">
        <v>8</v>
      </c>
      <c r="B36" s="111" t="s">
        <v>8</v>
      </c>
      <c r="C36" s="111" t="s">
        <v>106</v>
      </c>
      <c r="D36" s="111" t="s">
        <v>8</v>
      </c>
      <c r="E36" s="114" t="s">
        <v>8</v>
      </c>
      <c r="F36" s="117">
        <f>SUM(F27:F35)</f>
        <v>2821.93217</v>
      </c>
      <c r="G36" s="117">
        <f>SUM(G27:G35)</f>
        <v>0</v>
      </c>
      <c r="H36" s="112" t="s">
        <v>0</v>
      </c>
      <c r="I36" s="117">
        <f>SUM(I27:I35)</f>
        <v>56.44</v>
      </c>
      <c r="J36" s="117">
        <f>SUM(J27:J35)</f>
        <v>141.1</v>
      </c>
      <c r="K36" s="117">
        <f>SUM(K27:K35)</f>
        <v>3019.47217</v>
      </c>
      <c r="M36" s="127">
        <f>ROUND(K36/E35,2)</f>
        <v>48.15</v>
      </c>
    </row>
    <row r="37" spans="1:11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ht="226.2" customHeight="1" spans="1:11">
      <c r="A38" s="119" t="s">
        <v>0</v>
      </c>
      <c r="B38" s="119" t="s">
        <v>0</v>
      </c>
      <c r="C38" s="119" t="s">
        <v>0</v>
      </c>
      <c r="D38" s="119" t="s">
        <v>0</v>
      </c>
      <c r="E38" s="119" t="s">
        <v>0</v>
      </c>
      <c r="F38" s="119" t="s">
        <v>0</v>
      </c>
      <c r="G38" s="120"/>
      <c r="H38" s="120"/>
      <c r="I38" s="120"/>
      <c r="J38" s="120"/>
      <c r="K38" s="120"/>
    </row>
    <row r="39" ht="25.8" customHeight="1" spans="1:11">
      <c r="A39" s="106" t="s">
        <v>0</v>
      </c>
      <c r="B39" s="106" t="s">
        <v>0</v>
      </c>
      <c r="C39" s="107" t="s">
        <v>77</v>
      </c>
      <c r="D39" s="107" t="s">
        <v>0</v>
      </c>
      <c r="E39" s="107" t="s">
        <v>0</v>
      </c>
      <c r="F39" s="107" t="s">
        <v>0</v>
      </c>
      <c r="G39" s="107" t="s">
        <v>0</v>
      </c>
      <c r="H39" s="107" t="s">
        <v>0</v>
      </c>
      <c r="I39" s="107" t="s">
        <v>0</v>
      </c>
      <c r="J39" s="120" t="s">
        <v>120</v>
      </c>
      <c r="K39" s="120" t="s">
        <v>0</v>
      </c>
    </row>
    <row r="40" spans="1:11">
      <c r="A40" s="106" t="s">
        <v>79</v>
      </c>
      <c r="B40" s="106" t="s">
        <v>0</v>
      </c>
      <c r="C40" s="106" t="s">
        <v>0</v>
      </c>
      <c r="D40" s="106" t="s">
        <v>0</v>
      </c>
      <c r="E40" s="106" t="s">
        <v>0</v>
      </c>
      <c r="F40" s="106" t="s">
        <v>0</v>
      </c>
      <c r="G40" s="106" t="s">
        <v>0</v>
      </c>
      <c r="H40" s="106" t="s">
        <v>0</v>
      </c>
      <c r="I40" s="106" t="s">
        <v>0</v>
      </c>
      <c r="J40" s="106" t="s">
        <v>0</v>
      </c>
      <c r="K40" s="106" t="s">
        <v>0</v>
      </c>
    </row>
    <row r="41" spans="1:11">
      <c r="A41" s="121" t="s">
        <v>108</v>
      </c>
      <c r="B41" s="121" t="s">
        <v>0</v>
      </c>
      <c r="C41" s="109" t="s">
        <v>80</v>
      </c>
      <c r="D41" s="109" t="s">
        <v>0</v>
      </c>
      <c r="E41" s="109" t="s">
        <v>0</v>
      </c>
      <c r="F41" s="109" t="s">
        <v>0</v>
      </c>
      <c r="G41" s="109" t="s">
        <v>0</v>
      </c>
      <c r="H41" s="109" t="s">
        <v>0</v>
      </c>
      <c r="I41" s="109" t="s">
        <v>0</v>
      </c>
      <c r="J41" s="109" t="s">
        <v>81</v>
      </c>
      <c r="K41" s="109" t="s">
        <v>0</v>
      </c>
    </row>
    <row r="42" spans="1:11">
      <c r="A42" s="121" t="s">
        <v>82</v>
      </c>
      <c r="B42" s="121" t="s">
        <v>0</v>
      </c>
      <c r="C42" s="109" t="s">
        <v>121</v>
      </c>
      <c r="D42" s="109" t="s">
        <v>0</v>
      </c>
      <c r="E42" s="109" t="s">
        <v>0</v>
      </c>
      <c r="F42" s="109" t="s">
        <v>0</v>
      </c>
      <c r="G42" s="109" t="s">
        <v>0</v>
      </c>
      <c r="H42" s="109" t="s">
        <v>0</v>
      </c>
      <c r="I42" s="109" t="s">
        <v>0</v>
      </c>
      <c r="J42" s="109" t="str">
        <f>"工程数量："&amp;'[1]附表C-6营造林工程投资概算'!$D$10</f>
        <v>工程数量：0.45</v>
      </c>
      <c r="K42" s="109" t="s">
        <v>0</v>
      </c>
    </row>
    <row r="43" spans="1:11">
      <c r="A43" s="121" t="s">
        <v>84</v>
      </c>
      <c r="B43" s="121" t="s">
        <v>0</v>
      </c>
      <c r="C43" s="109" t="s">
        <v>122</v>
      </c>
      <c r="D43" s="109" t="s">
        <v>0</v>
      </c>
      <c r="E43" s="109" t="s">
        <v>0</v>
      </c>
      <c r="F43" s="109" t="s">
        <v>0</v>
      </c>
      <c r="G43" s="109" t="s">
        <v>0</v>
      </c>
      <c r="H43" s="109" t="s">
        <v>0</v>
      </c>
      <c r="I43" s="109" t="s">
        <v>0</v>
      </c>
      <c r="J43" s="109" t="str">
        <f>"综合单价："&amp;$M$55&amp;"元 "</f>
        <v>综合单价：18.39元 </v>
      </c>
      <c r="K43" s="109" t="s">
        <v>0</v>
      </c>
    </row>
    <row r="44" spans="1:11">
      <c r="A44" s="111" t="s">
        <v>28</v>
      </c>
      <c r="B44" s="111" t="s">
        <v>86</v>
      </c>
      <c r="C44" s="111" t="s">
        <v>87</v>
      </c>
      <c r="D44" s="111" t="s">
        <v>57</v>
      </c>
      <c r="E44" s="111" t="s">
        <v>88</v>
      </c>
      <c r="F44" s="111" t="s">
        <v>89</v>
      </c>
      <c r="G44" s="111" t="s">
        <v>0</v>
      </c>
      <c r="H44" s="111" t="s">
        <v>0</v>
      </c>
      <c r="I44" s="111" t="s">
        <v>0</v>
      </c>
      <c r="J44" s="111" t="s">
        <v>0</v>
      </c>
      <c r="K44" s="111" t="s">
        <v>0</v>
      </c>
    </row>
    <row r="45" spans="1:11">
      <c r="A45" s="123" t="s">
        <v>0</v>
      </c>
      <c r="B45" s="123" t="s">
        <v>0</v>
      </c>
      <c r="C45" s="123" t="s">
        <v>0</v>
      </c>
      <c r="D45" s="123" t="s">
        <v>0</v>
      </c>
      <c r="E45" s="123" t="s">
        <v>0</v>
      </c>
      <c r="F45" s="124" t="s">
        <v>63</v>
      </c>
      <c r="G45" s="125" t="s">
        <v>64</v>
      </c>
      <c r="H45" s="125" t="s">
        <v>65</v>
      </c>
      <c r="I45" s="125" t="s">
        <v>66</v>
      </c>
      <c r="J45" s="125" t="s">
        <v>67</v>
      </c>
      <c r="K45" s="125" t="s">
        <v>90</v>
      </c>
    </row>
    <row r="46" spans="1:11">
      <c r="A46" s="111" t="s">
        <v>68</v>
      </c>
      <c r="B46" s="111" t="s">
        <v>123</v>
      </c>
      <c r="C46" s="113" t="s">
        <v>91</v>
      </c>
      <c r="D46" s="111" t="s">
        <v>70</v>
      </c>
      <c r="E46" s="114">
        <f>'[1]附表C-6营造林工程投资概算'!$D$10</f>
        <v>0.45</v>
      </c>
      <c r="F46" s="117">
        <f>ROUND($E46*'[1]附表C-2营造林技术经济指标表'!$H$116,2)*0.94*0.85</f>
        <v>7.73432</v>
      </c>
      <c r="G46" s="114" t="s">
        <v>0</v>
      </c>
      <c r="H46" s="114" t="s">
        <v>0</v>
      </c>
      <c r="I46" s="116">
        <f>ROUND(F46*0.02,2)</f>
        <v>0.15</v>
      </c>
      <c r="J46" s="116">
        <f>ROUND(F46*0.05,2)</f>
        <v>0.39</v>
      </c>
      <c r="K46" s="122">
        <f>SUM(F46:J46)</f>
        <v>8.27432</v>
      </c>
    </row>
    <row r="47" spans="1:11">
      <c r="A47" s="111" t="s">
        <v>71</v>
      </c>
      <c r="B47" s="111" t="s">
        <v>124</v>
      </c>
      <c r="C47" s="113" t="s">
        <v>92</v>
      </c>
      <c r="D47" s="111" t="s">
        <v>70</v>
      </c>
      <c r="E47" s="114">
        <f>'[1]附表C-6营造林工程投资概算'!$D$10</f>
        <v>0.45</v>
      </c>
      <c r="F47" s="117"/>
      <c r="G47" s="114"/>
      <c r="H47" s="114"/>
      <c r="I47" s="116"/>
      <c r="J47" s="116"/>
      <c r="K47" s="122"/>
    </row>
    <row r="48" spans="1:11">
      <c r="A48" s="111" t="s">
        <v>73</v>
      </c>
      <c r="B48" s="111" t="s">
        <v>125</v>
      </c>
      <c r="C48" s="113" t="s">
        <v>93</v>
      </c>
      <c r="D48" s="111" t="s">
        <v>70</v>
      </c>
      <c r="E48" s="114">
        <f>'[1]附表C-6营造林工程投资概算'!$D$10</f>
        <v>0.45</v>
      </c>
      <c r="F48" s="117"/>
      <c r="G48" s="114"/>
      <c r="H48" s="114"/>
      <c r="I48" s="116"/>
      <c r="J48" s="116"/>
      <c r="K48" s="122"/>
    </row>
    <row r="49" spans="1:11">
      <c r="A49" s="111" t="s">
        <v>94</v>
      </c>
      <c r="B49" s="111" t="s">
        <v>126</v>
      </c>
      <c r="C49" s="113" t="s">
        <v>95</v>
      </c>
      <c r="D49" s="111" t="s">
        <v>70</v>
      </c>
      <c r="E49" s="114">
        <f>'[1]附表C-6营造林工程投资概算'!$D$10</f>
        <v>0.45</v>
      </c>
      <c r="F49" s="117"/>
      <c r="G49" s="117"/>
      <c r="H49" s="114"/>
      <c r="I49" s="116"/>
      <c r="J49" s="116"/>
      <c r="K49" s="122"/>
    </row>
    <row r="50" spans="1:11">
      <c r="A50" s="111" t="s">
        <v>96</v>
      </c>
      <c r="B50" s="111" t="s">
        <v>127</v>
      </c>
      <c r="C50" s="113" t="s">
        <v>97</v>
      </c>
      <c r="D50" s="111" t="s">
        <v>70</v>
      </c>
      <c r="E50" s="114">
        <f>'[1]附表C-6营造林工程投资概算'!$D$10</f>
        <v>0.45</v>
      </c>
      <c r="F50" s="117"/>
      <c r="G50" s="122"/>
      <c r="H50" s="114"/>
      <c r="I50" s="116"/>
      <c r="J50" s="116"/>
      <c r="K50" s="122"/>
    </row>
    <row r="51" spans="1:11">
      <c r="A51" s="111" t="s">
        <v>98</v>
      </c>
      <c r="B51" s="111" t="s">
        <v>128</v>
      </c>
      <c r="C51" s="113" t="s">
        <v>99</v>
      </c>
      <c r="D51" s="111" t="s">
        <v>70</v>
      </c>
      <c r="E51" s="114">
        <f>'[1]附表C-6营造林工程投资概算'!$D$10</f>
        <v>0.45</v>
      </c>
      <c r="F51" s="117"/>
      <c r="G51" s="114"/>
      <c r="H51" s="114"/>
      <c r="I51" s="116"/>
      <c r="J51" s="116"/>
      <c r="K51" s="122"/>
    </row>
    <row r="52" spans="1:11">
      <c r="A52" s="111" t="s">
        <v>100</v>
      </c>
      <c r="B52" s="111" t="s">
        <v>129</v>
      </c>
      <c r="C52" s="113" t="s">
        <v>101</v>
      </c>
      <c r="D52" s="111" t="s">
        <v>70</v>
      </c>
      <c r="E52" s="114">
        <f>'[1]附表C-6营造林工程投资概算'!$D$10</f>
        <v>0.45</v>
      </c>
      <c r="F52" s="117"/>
      <c r="G52" s="122"/>
      <c r="H52" s="114"/>
      <c r="I52" s="116"/>
      <c r="J52" s="116"/>
      <c r="K52" s="122"/>
    </row>
    <row r="53" spans="1:11">
      <c r="A53" s="111" t="s">
        <v>102</v>
      </c>
      <c r="B53" s="111" t="s">
        <v>130</v>
      </c>
      <c r="C53" s="113" t="s">
        <v>103</v>
      </c>
      <c r="D53" s="111" t="s">
        <v>70</v>
      </c>
      <c r="E53" s="114">
        <f>'[1]附表C-6营造林工程投资概算'!$D$10</f>
        <v>0.45</v>
      </c>
      <c r="F53" s="117"/>
      <c r="G53" s="114"/>
      <c r="H53" s="114"/>
      <c r="I53" s="116"/>
      <c r="J53" s="116"/>
      <c r="K53" s="122"/>
    </row>
    <row r="54" spans="1:11">
      <c r="A54" s="111" t="s">
        <v>104</v>
      </c>
      <c r="B54" s="111" t="s">
        <v>131</v>
      </c>
      <c r="C54" s="113" t="s">
        <v>105</v>
      </c>
      <c r="D54" s="111" t="s">
        <v>70</v>
      </c>
      <c r="E54" s="114">
        <f>'[1]附表C-6营造林工程投资概算'!$D$10</f>
        <v>0.45</v>
      </c>
      <c r="F54" s="117"/>
      <c r="G54" s="114"/>
      <c r="H54" s="114"/>
      <c r="I54" s="116"/>
      <c r="J54" s="116"/>
      <c r="K54" s="122"/>
    </row>
    <row r="55" spans="1:13">
      <c r="A55" s="111" t="s">
        <v>8</v>
      </c>
      <c r="B55" s="111" t="s">
        <v>8</v>
      </c>
      <c r="C55" s="111" t="s">
        <v>106</v>
      </c>
      <c r="D55" s="111" t="s">
        <v>8</v>
      </c>
      <c r="E55" s="114" t="s">
        <v>8</v>
      </c>
      <c r="F55" s="117">
        <f>SUM(F46:F54)</f>
        <v>7.73432</v>
      </c>
      <c r="G55" s="117">
        <f>SUM(G46:G54)</f>
        <v>0</v>
      </c>
      <c r="H55" s="112" t="s">
        <v>0</v>
      </c>
      <c r="I55" s="117">
        <f>SUM(I46:I54)</f>
        <v>0.15</v>
      </c>
      <c r="J55" s="117">
        <f>SUM(J46:J54)</f>
        <v>0.39</v>
      </c>
      <c r="K55" s="117">
        <f>SUM(K46:K54)</f>
        <v>8.27432</v>
      </c>
      <c r="M55" s="127">
        <f>ROUND(K55/E54,2)</f>
        <v>18.39</v>
      </c>
    </row>
    <row r="56" spans="1:11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</row>
    <row r="57" ht="237.6" customHeight="1" spans="7:11">
      <c r="G57" s="120"/>
      <c r="H57" s="120"/>
      <c r="I57" s="120"/>
      <c r="J57" s="120"/>
      <c r="K57" s="120"/>
    </row>
  </sheetData>
  <mergeCells count="59">
    <mergeCell ref="A1:B1"/>
    <mergeCell ref="C1:I1"/>
    <mergeCell ref="J1:K1"/>
    <mergeCell ref="A2:K2"/>
    <mergeCell ref="C3:I3"/>
    <mergeCell ref="J3:K3"/>
    <mergeCell ref="C4:I4"/>
    <mergeCell ref="J4:K4"/>
    <mergeCell ref="C5:I5"/>
    <mergeCell ref="J5:K5"/>
    <mergeCell ref="F6:K6"/>
    <mergeCell ref="A19:F19"/>
    <mergeCell ref="G19:K19"/>
    <mergeCell ref="A20:B20"/>
    <mergeCell ref="C20:I20"/>
    <mergeCell ref="J20:K20"/>
    <mergeCell ref="A21:K21"/>
    <mergeCell ref="A22:B22"/>
    <mergeCell ref="C22:I22"/>
    <mergeCell ref="J22:K22"/>
    <mergeCell ref="A23:B23"/>
    <mergeCell ref="C23:I23"/>
    <mergeCell ref="J23:K23"/>
    <mergeCell ref="A24:B24"/>
    <mergeCell ref="C24:I24"/>
    <mergeCell ref="J24:K24"/>
    <mergeCell ref="F25:K25"/>
    <mergeCell ref="A38:F38"/>
    <mergeCell ref="G38:K38"/>
    <mergeCell ref="A39:B39"/>
    <mergeCell ref="C39:I39"/>
    <mergeCell ref="J39:K39"/>
    <mergeCell ref="A40:K40"/>
    <mergeCell ref="A41:B41"/>
    <mergeCell ref="C41:I41"/>
    <mergeCell ref="J41:K41"/>
    <mergeCell ref="A42:B42"/>
    <mergeCell ref="C42:I42"/>
    <mergeCell ref="J42:K42"/>
    <mergeCell ref="A43:B43"/>
    <mergeCell ref="C43:I43"/>
    <mergeCell ref="J43:K43"/>
    <mergeCell ref="F44:K44"/>
    <mergeCell ref="G57:K57"/>
    <mergeCell ref="A6:A7"/>
    <mergeCell ref="A25:A26"/>
    <mergeCell ref="A44:A45"/>
    <mergeCell ref="B6:B7"/>
    <mergeCell ref="B25:B26"/>
    <mergeCell ref="B44:B45"/>
    <mergeCell ref="C6:C7"/>
    <mergeCell ref="C25:C26"/>
    <mergeCell ref="C44:C45"/>
    <mergeCell ref="D6:D7"/>
    <mergeCell ref="D25:D26"/>
    <mergeCell ref="D44:D45"/>
    <mergeCell ref="E6:E7"/>
    <mergeCell ref="E25:E26"/>
    <mergeCell ref="E44:E4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1"/>
  <sheetViews>
    <sheetView showZeros="0" workbookViewId="0">
      <selection activeCell="M11" sqref="M11"/>
    </sheetView>
  </sheetViews>
  <sheetFormatPr defaultColWidth="8.88888888888889" defaultRowHeight="14.4"/>
  <cols>
    <col min="1" max="1" width="7" style="1" customWidth="1"/>
    <col min="2" max="2" width="11.212962962963" style="1" customWidth="1"/>
    <col min="3" max="3" width="34.1111111111111" style="1" customWidth="1"/>
    <col min="4" max="4" width="8.88888888888889" style="1"/>
    <col min="5" max="11" width="10.1111111111111" style="1" customWidth="1"/>
    <col min="12" max="12" width="12.6296296296296" style="1" hidden="1" customWidth="1"/>
    <col min="13" max="16384" width="8.88888888888889" style="1"/>
  </cols>
  <sheetData>
    <row r="1" ht="28.8" customHeight="1" spans="1:11">
      <c r="A1" s="41" t="s">
        <v>0</v>
      </c>
      <c r="B1" s="41" t="s">
        <v>0</v>
      </c>
      <c r="C1" s="42" t="s">
        <v>77</v>
      </c>
      <c r="D1" s="42" t="s">
        <v>0</v>
      </c>
      <c r="E1" s="42" t="s">
        <v>0</v>
      </c>
      <c r="F1" s="42" t="s">
        <v>0</v>
      </c>
      <c r="G1" s="42" t="s">
        <v>0</v>
      </c>
      <c r="H1" s="42" t="s">
        <v>0</v>
      </c>
      <c r="I1" s="42" t="s">
        <v>0</v>
      </c>
      <c r="J1" s="49" t="s">
        <v>132</v>
      </c>
      <c r="K1" s="49" t="s">
        <v>0</v>
      </c>
    </row>
    <row r="2" spans="1:11">
      <c r="A2" s="43" t="s">
        <v>79</v>
      </c>
      <c r="B2" s="43" t="s">
        <v>0</v>
      </c>
      <c r="C2" s="43" t="s">
        <v>0</v>
      </c>
      <c r="D2" s="43" t="s">
        <v>0</v>
      </c>
      <c r="E2" s="43" t="s">
        <v>0</v>
      </c>
      <c r="F2" s="43" t="s">
        <v>0</v>
      </c>
      <c r="G2" s="43" t="s">
        <v>0</v>
      </c>
      <c r="H2" s="43" t="s">
        <v>0</v>
      </c>
      <c r="I2" s="43" t="s">
        <v>0</v>
      </c>
      <c r="J2" s="43" t="s">
        <v>0</v>
      </c>
      <c r="K2" s="43" t="s">
        <v>0</v>
      </c>
    </row>
    <row r="3" spans="1:11">
      <c r="A3" s="28" t="s">
        <v>22</v>
      </c>
      <c r="B3" s="28" t="s">
        <v>0</v>
      </c>
      <c r="C3" s="17" t="s">
        <v>80</v>
      </c>
      <c r="D3" s="17" t="s">
        <v>0</v>
      </c>
      <c r="E3" s="17" t="s">
        <v>0</v>
      </c>
      <c r="F3" s="17" t="s">
        <v>0</v>
      </c>
      <c r="G3" s="17" t="s">
        <v>0</v>
      </c>
      <c r="H3" s="17" t="s">
        <v>0</v>
      </c>
      <c r="I3" s="17" t="s">
        <v>0</v>
      </c>
      <c r="J3" s="17" t="s">
        <v>81</v>
      </c>
      <c r="K3" s="17" t="s">
        <v>0</v>
      </c>
    </row>
    <row r="4" spans="1:11">
      <c r="A4" s="28" t="s">
        <v>82</v>
      </c>
      <c r="B4" s="28" t="s">
        <v>0</v>
      </c>
      <c r="C4" s="17" t="s">
        <v>133</v>
      </c>
      <c r="D4" s="17" t="s">
        <v>0</v>
      </c>
      <c r="E4" s="17" t="s">
        <v>0</v>
      </c>
      <c r="F4" s="17" t="s">
        <v>0</v>
      </c>
      <c r="G4" s="17" t="s">
        <v>0</v>
      </c>
      <c r="H4" s="17" t="s">
        <v>0</v>
      </c>
      <c r="I4" s="17" t="s">
        <v>0</v>
      </c>
      <c r="J4" s="34" t="str">
        <f>"工程数量："&amp;'[1]附表C-6营造林工程投资概算'!$D$8</f>
        <v>工程数量：13.5</v>
      </c>
      <c r="K4" s="34" t="s">
        <v>0</v>
      </c>
    </row>
    <row r="5" spans="1:11">
      <c r="A5" s="28" t="s">
        <v>84</v>
      </c>
      <c r="B5" s="28" t="s">
        <v>0</v>
      </c>
      <c r="C5" s="17" t="s">
        <v>134</v>
      </c>
      <c r="D5" s="17" t="s">
        <v>0</v>
      </c>
      <c r="E5" s="17" t="s">
        <v>0</v>
      </c>
      <c r="F5" s="17" t="s">
        <v>0</v>
      </c>
      <c r="G5" s="17" t="s">
        <v>0</v>
      </c>
      <c r="H5" s="17" t="s">
        <v>0</v>
      </c>
      <c r="I5" s="17" t="s">
        <v>0</v>
      </c>
      <c r="J5" s="34" t="str">
        <f>'D3-3 分部分项工程量清单综合单价计算表(分页不带材料)~1'!J5:K5</f>
        <v>综合单价：48.15元</v>
      </c>
      <c r="K5" s="34" t="s">
        <v>0</v>
      </c>
    </row>
    <row r="6" spans="1:11">
      <c r="A6" s="44" t="s">
        <v>28</v>
      </c>
      <c r="B6" s="44" t="s">
        <v>86</v>
      </c>
      <c r="C6" s="44" t="s">
        <v>87</v>
      </c>
      <c r="D6" s="44" t="s">
        <v>57</v>
      </c>
      <c r="E6" s="44" t="s">
        <v>88</v>
      </c>
      <c r="F6" s="44" t="s">
        <v>89</v>
      </c>
      <c r="G6" s="44" t="s">
        <v>0</v>
      </c>
      <c r="H6" s="44" t="s">
        <v>0</v>
      </c>
      <c r="I6" s="44" t="s">
        <v>0</v>
      </c>
      <c r="J6" s="44" t="s">
        <v>0</v>
      </c>
      <c r="K6" s="44" t="s">
        <v>0</v>
      </c>
    </row>
    <row r="7" spans="1:11">
      <c r="A7" s="60" t="s">
        <v>0</v>
      </c>
      <c r="B7" s="60" t="s">
        <v>0</v>
      </c>
      <c r="C7" s="60" t="s">
        <v>0</v>
      </c>
      <c r="D7" s="60" t="s">
        <v>0</v>
      </c>
      <c r="E7" s="60" t="s">
        <v>0</v>
      </c>
      <c r="F7" s="62" t="s">
        <v>63</v>
      </c>
      <c r="G7" s="62" t="s">
        <v>64</v>
      </c>
      <c r="H7" s="62" t="s">
        <v>65</v>
      </c>
      <c r="I7" s="62" t="s">
        <v>66</v>
      </c>
      <c r="J7" s="62" t="s">
        <v>67</v>
      </c>
      <c r="K7" s="62" t="s">
        <v>90</v>
      </c>
    </row>
    <row r="8" spans="1:11">
      <c r="A8" s="44" t="s">
        <v>68</v>
      </c>
      <c r="B8" s="44" t="s">
        <v>135</v>
      </c>
      <c r="C8" s="44" t="s">
        <v>91</v>
      </c>
      <c r="D8" s="44" t="s">
        <v>70</v>
      </c>
      <c r="E8" s="44">
        <f>'[1]附表C-6营造林工程投资概算'!$D$8</f>
        <v>13.5</v>
      </c>
      <c r="F8" s="44">
        <f>F9</f>
        <v>607.49568</v>
      </c>
      <c r="G8" s="44"/>
      <c r="H8" s="44" t="s">
        <v>0</v>
      </c>
      <c r="I8" s="65">
        <f>ROUND(F8*0.02,2)</f>
        <v>12.15</v>
      </c>
      <c r="J8" s="65">
        <f>ROUND(F8*0.05,2)</f>
        <v>30.37</v>
      </c>
      <c r="K8" s="44">
        <f>SUM(F8:J8)</f>
        <v>650.01568</v>
      </c>
    </row>
    <row r="9" spans="1:12">
      <c r="A9" s="44" t="s">
        <v>71</v>
      </c>
      <c r="B9" s="44" t="s">
        <v>8</v>
      </c>
      <c r="C9" s="44" t="s">
        <v>136</v>
      </c>
      <c r="D9" s="44" t="s">
        <v>137</v>
      </c>
      <c r="E9" s="44">
        <f>ROUND(E8*'[1]附表C-2营造林技术经济指标表'!$F$116,2)</f>
        <v>760.32</v>
      </c>
      <c r="F9" s="44">
        <f>ROUND($E8*'[1]附表C-2营造林技术经济指标表'!$F$116,2)*0.94*0.85</f>
        <v>607.49568</v>
      </c>
      <c r="G9" s="44"/>
      <c r="H9" s="44" t="s">
        <v>8</v>
      </c>
      <c r="I9" s="65">
        <f>ROUND(F9*0.02,2)</f>
        <v>12.15</v>
      </c>
      <c r="J9" s="65">
        <f>ROUND(F9*0.05,2)</f>
        <v>30.37</v>
      </c>
      <c r="K9" s="44">
        <f>SUM(F9:J9)</f>
        <v>650.01568</v>
      </c>
      <c r="L9" s="1">
        <f>F9/E8</f>
        <v>44.99968</v>
      </c>
    </row>
    <row r="10" spans="1:11">
      <c r="A10" s="44" t="s">
        <v>73</v>
      </c>
      <c r="B10" s="44" t="s">
        <v>138</v>
      </c>
      <c r="C10" s="44" t="s">
        <v>92</v>
      </c>
      <c r="D10" s="44" t="s">
        <v>70</v>
      </c>
      <c r="E10" s="44">
        <f>E8</f>
        <v>13.5</v>
      </c>
      <c r="F10" s="44"/>
      <c r="G10" s="44"/>
      <c r="H10" s="44"/>
      <c r="I10" s="65"/>
      <c r="J10" s="65"/>
      <c r="K10" s="44"/>
    </row>
    <row r="11" spans="1:11">
      <c r="A11" s="44" t="s">
        <v>94</v>
      </c>
      <c r="B11" s="44" t="s">
        <v>8</v>
      </c>
      <c r="C11" s="44" t="s">
        <v>139</v>
      </c>
      <c r="D11" s="44" t="s">
        <v>137</v>
      </c>
      <c r="E11" s="44">
        <f>ROUND(E10*'[1]附表C-2营造林技术经济指标表'!$F$117,2)</f>
        <v>16.03</v>
      </c>
      <c r="F11" s="44"/>
      <c r="G11" s="44"/>
      <c r="H11" s="44"/>
      <c r="I11" s="65"/>
      <c r="J11" s="65"/>
      <c r="K11" s="44"/>
    </row>
    <row r="12" spans="1:11">
      <c r="A12" s="44" t="s">
        <v>96</v>
      </c>
      <c r="B12" s="44" t="s">
        <v>140</v>
      </c>
      <c r="C12" s="44" t="s">
        <v>93</v>
      </c>
      <c r="D12" s="44" t="s">
        <v>70</v>
      </c>
      <c r="E12" s="44">
        <f>E8</f>
        <v>13.5</v>
      </c>
      <c r="F12" s="44"/>
      <c r="G12" s="44"/>
      <c r="H12" s="44"/>
      <c r="I12" s="65"/>
      <c r="J12" s="65"/>
      <c r="K12" s="44"/>
    </row>
    <row r="13" spans="1:11">
      <c r="A13" s="44" t="s">
        <v>98</v>
      </c>
      <c r="B13" s="44" t="s">
        <v>8</v>
      </c>
      <c r="C13" s="44" t="s">
        <v>141</v>
      </c>
      <c r="D13" s="44" t="s">
        <v>142</v>
      </c>
      <c r="E13" s="93">
        <f>E14</f>
        <v>2997</v>
      </c>
      <c r="F13" s="44"/>
      <c r="G13" s="44"/>
      <c r="H13" s="44"/>
      <c r="I13" s="65"/>
      <c r="J13" s="65"/>
      <c r="K13" s="44"/>
    </row>
    <row r="14" spans="1:11">
      <c r="A14" s="44" t="s">
        <v>100</v>
      </c>
      <c r="B14" s="44" t="s">
        <v>8</v>
      </c>
      <c r="C14" s="44" t="s">
        <v>143</v>
      </c>
      <c r="D14" s="44" t="s">
        <v>142</v>
      </c>
      <c r="E14" s="93">
        <f>ROUND($E12*'[1]附表C-2营造林技术经济指标表'!$F$82*1000,2)</f>
        <v>2997</v>
      </c>
      <c r="F14" s="44"/>
      <c r="G14" s="44"/>
      <c r="H14" s="44"/>
      <c r="I14" s="65"/>
      <c r="J14" s="65"/>
      <c r="K14" s="44"/>
    </row>
    <row r="15" spans="1:11">
      <c r="A15" s="44" t="s">
        <v>102</v>
      </c>
      <c r="B15" s="44" t="s">
        <v>8</v>
      </c>
      <c r="C15" s="44" t="s">
        <v>144</v>
      </c>
      <c r="D15" s="44" t="s">
        <v>137</v>
      </c>
      <c r="E15" s="44">
        <f>ROUND($E12*'[1]附表C-2营造林技术经济指标表'!$F$121,2)</f>
        <v>9.99</v>
      </c>
      <c r="F15" s="44"/>
      <c r="G15" s="44"/>
      <c r="H15" s="44"/>
      <c r="I15" s="65"/>
      <c r="J15" s="65"/>
      <c r="K15" s="44"/>
    </row>
    <row r="16" spans="1:11">
      <c r="A16" s="44" t="s">
        <v>104</v>
      </c>
      <c r="B16" s="44" t="s">
        <v>145</v>
      </c>
      <c r="C16" s="44" t="s">
        <v>95</v>
      </c>
      <c r="D16" s="44" t="s">
        <v>70</v>
      </c>
      <c r="E16" s="44">
        <f>E8</f>
        <v>13.5</v>
      </c>
      <c r="F16" s="93"/>
      <c r="G16" s="44"/>
      <c r="H16" s="44"/>
      <c r="I16" s="65"/>
      <c r="J16" s="65"/>
      <c r="K16" s="44"/>
    </row>
    <row r="17" spans="1:11">
      <c r="A17" s="44" t="s">
        <v>146</v>
      </c>
      <c r="B17" s="44" t="s">
        <v>8</v>
      </c>
      <c r="C17" s="44" t="s">
        <v>147</v>
      </c>
      <c r="D17" s="44" t="s">
        <v>148</v>
      </c>
      <c r="E17" s="44">
        <f>ROUND(E16*'[1]附表C-2营造林技术经济指标表'!$F$159,0)</f>
        <v>0</v>
      </c>
      <c r="F17" s="44"/>
      <c r="G17" s="44"/>
      <c r="H17" s="44"/>
      <c r="I17" s="44"/>
      <c r="J17" s="44"/>
      <c r="K17" s="44"/>
    </row>
    <row r="18" spans="1:11">
      <c r="A18" s="44" t="s">
        <v>149</v>
      </c>
      <c r="B18" s="44" t="s">
        <v>150</v>
      </c>
      <c r="C18" s="44" t="s">
        <v>151</v>
      </c>
      <c r="D18" s="44" t="s">
        <v>70</v>
      </c>
      <c r="E18" s="44">
        <f>E8</f>
        <v>13.5</v>
      </c>
      <c r="F18" s="44"/>
      <c r="G18" s="44"/>
      <c r="H18" s="44"/>
      <c r="I18" s="65"/>
      <c r="J18" s="65"/>
      <c r="K18" s="44"/>
    </row>
    <row r="19" spans="1:11">
      <c r="A19" s="44" t="s">
        <v>152</v>
      </c>
      <c r="B19" s="44" t="s">
        <v>8</v>
      </c>
      <c r="C19" s="44" t="s">
        <v>153</v>
      </c>
      <c r="D19" s="44" t="s">
        <v>137</v>
      </c>
      <c r="E19" s="44">
        <f>ROUND(E18*('[1]附表C-2营造林技术经济指标表'!$F$119+'[1]附表C-2营造林技术经济指标表'!$F$123+'[1]附表C-2营造林技术经济指标表'!$F$125),2)</f>
        <v>32.09</v>
      </c>
      <c r="F19" s="44"/>
      <c r="G19" s="44"/>
      <c r="H19" s="44"/>
      <c r="I19" s="65"/>
      <c r="J19" s="65"/>
      <c r="K19" s="44"/>
    </row>
    <row r="20" spans="1:11">
      <c r="A20" s="44" t="s">
        <v>154</v>
      </c>
      <c r="B20" s="44" t="s">
        <v>8</v>
      </c>
      <c r="C20" s="44" t="s">
        <v>155</v>
      </c>
      <c r="D20" s="44" t="s">
        <v>156</v>
      </c>
      <c r="E20" s="44">
        <f>ROUND(E18*('[1]附表C-2营造林技术经济指标表'!$F$16+'[1]附表C-2营造林技术经济指标表'!$F$17),0)</f>
        <v>1647</v>
      </c>
      <c r="F20" s="44"/>
      <c r="G20" s="44"/>
      <c r="H20" s="44"/>
      <c r="I20" s="44"/>
      <c r="J20" s="44"/>
      <c r="K20" s="44"/>
    </row>
    <row r="21" spans="1:11">
      <c r="A21" s="44" t="s">
        <v>157</v>
      </c>
      <c r="B21" s="44" t="s">
        <v>8</v>
      </c>
      <c r="C21" s="44" t="s">
        <v>158</v>
      </c>
      <c r="D21" s="44" t="s">
        <v>156</v>
      </c>
      <c r="E21" s="44">
        <f>E20</f>
        <v>1647</v>
      </c>
      <c r="F21" s="44"/>
      <c r="G21" s="44"/>
      <c r="H21" s="44"/>
      <c r="I21" s="44"/>
      <c r="J21" s="44"/>
      <c r="K21" s="44"/>
    </row>
    <row r="22" spans="1:1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ht="165.6" customHeight="1" spans="1:11">
      <c r="A23" s="17" t="s">
        <v>0</v>
      </c>
      <c r="B23" s="17" t="s">
        <v>0</v>
      </c>
      <c r="C23" s="17" t="s">
        <v>0</v>
      </c>
      <c r="D23" s="17" t="s">
        <v>0</v>
      </c>
      <c r="E23" s="17" t="s">
        <v>0</v>
      </c>
      <c r="F23" s="17" t="s">
        <v>0</v>
      </c>
      <c r="G23" s="49"/>
      <c r="H23" s="49"/>
      <c r="I23" s="49"/>
      <c r="J23" s="49"/>
      <c r="K23" s="49"/>
    </row>
    <row r="24" ht="25.8" customHeight="1" spans="1:11">
      <c r="A24" s="41" t="s">
        <v>0</v>
      </c>
      <c r="B24" s="41" t="s">
        <v>0</v>
      </c>
      <c r="C24" s="42" t="s">
        <v>77</v>
      </c>
      <c r="D24" s="42" t="s">
        <v>0</v>
      </c>
      <c r="E24" s="42" t="s">
        <v>0</v>
      </c>
      <c r="F24" s="42" t="s">
        <v>0</v>
      </c>
      <c r="G24" s="42" t="s">
        <v>0</v>
      </c>
      <c r="H24" s="42" t="s">
        <v>0</v>
      </c>
      <c r="I24" s="42" t="s">
        <v>0</v>
      </c>
      <c r="J24" s="49" t="s">
        <v>159</v>
      </c>
      <c r="K24" s="49" t="s">
        <v>0</v>
      </c>
    </row>
    <row r="25" spans="1:11">
      <c r="A25" s="103">
        <v>16</v>
      </c>
      <c r="B25" s="44" t="s">
        <v>8</v>
      </c>
      <c r="C25" s="44" t="s">
        <v>160</v>
      </c>
      <c r="D25" s="44" t="s">
        <v>156</v>
      </c>
      <c r="E25" s="44"/>
      <c r="F25" s="44"/>
      <c r="G25" s="44"/>
      <c r="H25" s="44" t="s">
        <v>8</v>
      </c>
      <c r="I25" s="44" t="s">
        <v>8</v>
      </c>
      <c r="J25" s="44" t="s">
        <v>8</v>
      </c>
      <c r="K25" s="44" t="s">
        <v>8</v>
      </c>
    </row>
    <row r="26" spans="1:11">
      <c r="A26" s="44">
        <v>17</v>
      </c>
      <c r="B26" s="44" t="s">
        <v>8</v>
      </c>
      <c r="C26" s="44" t="s">
        <v>161</v>
      </c>
      <c r="D26" s="44" t="s">
        <v>156</v>
      </c>
      <c r="E26" s="44"/>
      <c r="F26" s="44"/>
      <c r="G26" s="44"/>
      <c r="H26" s="44"/>
      <c r="I26" s="44"/>
      <c r="J26" s="44"/>
      <c r="K26" s="44"/>
    </row>
    <row r="27" spans="1:11">
      <c r="A27" s="103">
        <v>18</v>
      </c>
      <c r="B27" s="44" t="s">
        <v>162</v>
      </c>
      <c r="C27" s="44" t="s">
        <v>99</v>
      </c>
      <c r="D27" s="44" t="s">
        <v>70</v>
      </c>
      <c r="E27" s="44">
        <f>E8</f>
        <v>13.5</v>
      </c>
      <c r="F27" s="44"/>
      <c r="G27" s="44"/>
      <c r="H27" s="44"/>
      <c r="I27" s="65"/>
      <c r="J27" s="65"/>
      <c r="K27" s="44"/>
    </row>
    <row r="28" spans="1:11">
      <c r="A28" s="44">
        <v>19</v>
      </c>
      <c r="B28" s="44" t="s">
        <v>8</v>
      </c>
      <c r="C28" s="44" t="s">
        <v>163</v>
      </c>
      <c r="D28" s="44" t="s">
        <v>142</v>
      </c>
      <c r="E28" s="44">
        <f>E29</f>
        <v>4495.5</v>
      </c>
      <c r="F28" s="44"/>
      <c r="G28" s="44"/>
      <c r="H28" s="44"/>
      <c r="I28" s="44"/>
      <c r="J28" s="44"/>
      <c r="K28" s="44"/>
    </row>
    <row r="29" spans="1:11">
      <c r="A29" s="103">
        <v>20</v>
      </c>
      <c r="B29" s="44" t="s">
        <v>8</v>
      </c>
      <c r="C29" s="44" t="s">
        <v>164</v>
      </c>
      <c r="D29" s="44" t="s">
        <v>142</v>
      </c>
      <c r="E29" s="44">
        <f>ROUND(E27*'[1]附表C-2营造林技术经济指标表'!$F$91*1000,2)</f>
        <v>4495.5</v>
      </c>
      <c r="F29" s="44"/>
      <c r="G29" s="44"/>
      <c r="H29" s="44"/>
      <c r="I29" s="44"/>
      <c r="J29" s="44"/>
      <c r="K29" s="44"/>
    </row>
    <row r="30" spans="1:11">
      <c r="A30" s="44">
        <v>21</v>
      </c>
      <c r="B30" s="44" t="s">
        <v>8</v>
      </c>
      <c r="C30" s="44" t="s">
        <v>165</v>
      </c>
      <c r="D30" s="44" t="s">
        <v>166</v>
      </c>
      <c r="E30" s="44">
        <f>'[1]附表C-2营造林技术经济指标表'!$F$90*'[1]附表C-2营造林技术经济指标表'!$F$89</f>
        <v>3</v>
      </c>
      <c r="F30" s="44"/>
      <c r="G30" s="44"/>
      <c r="H30" s="44"/>
      <c r="I30" s="44"/>
      <c r="J30" s="44"/>
      <c r="K30" s="44"/>
    </row>
    <row r="31" spans="1:11">
      <c r="A31" s="103">
        <v>22</v>
      </c>
      <c r="B31" s="44" t="s">
        <v>8</v>
      </c>
      <c r="C31" s="44" t="s">
        <v>167</v>
      </c>
      <c r="D31" s="44" t="s">
        <v>137</v>
      </c>
      <c r="E31" s="44">
        <f>ROUND(E27*'[1]附表C-2营造林技术经济指标表'!$F$135,2)</f>
        <v>29.97</v>
      </c>
      <c r="F31" s="44"/>
      <c r="G31" s="44"/>
      <c r="H31" s="44"/>
      <c r="I31" s="65"/>
      <c r="J31" s="65"/>
      <c r="K31" s="44"/>
    </row>
    <row r="32" ht="21.6" spans="1:11">
      <c r="A32" s="44">
        <v>23</v>
      </c>
      <c r="B32" s="44" t="s">
        <v>117</v>
      </c>
      <c r="C32" s="44" t="s">
        <v>101</v>
      </c>
      <c r="D32" s="44" t="s">
        <v>70</v>
      </c>
      <c r="E32" s="44">
        <f>E8</f>
        <v>13.5</v>
      </c>
      <c r="F32" s="93"/>
      <c r="G32" s="44"/>
      <c r="H32" s="44"/>
      <c r="I32" s="65"/>
      <c r="J32" s="65"/>
      <c r="K32" s="44"/>
    </row>
    <row r="33" spans="1:11">
      <c r="A33" s="103">
        <v>24</v>
      </c>
      <c r="B33" s="44" t="s">
        <v>8</v>
      </c>
      <c r="C33" s="44" t="s">
        <v>168</v>
      </c>
      <c r="D33" s="44" t="s">
        <v>142</v>
      </c>
      <c r="E33" s="44">
        <f>ROUND(E32*'[1]附表C-2营造林技术经济指标表'!$F$156,2)</f>
        <v>89.91</v>
      </c>
      <c r="F33" s="44"/>
      <c r="G33" s="44"/>
      <c r="H33" s="44"/>
      <c r="I33" s="44"/>
      <c r="J33" s="44"/>
      <c r="K33" s="44"/>
    </row>
    <row r="34" spans="1:11">
      <c r="A34" s="44">
        <v>25</v>
      </c>
      <c r="B34" s="44" t="s">
        <v>8</v>
      </c>
      <c r="C34" s="44" t="s">
        <v>169</v>
      </c>
      <c r="D34" s="44" t="s">
        <v>142</v>
      </c>
      <c r="E34" s="44">
        <f>E33</f>
        <v>89.91</v>
      </c>
      <c r="F34" s="44"/>
      <c r="G34" s="44"/>
      <c r="H34" s="44"/>
      <c r="I34" s="44"/>
      <c r="J34" s="44"/>
      <c r="K34" s="44"/>
    </row>
    <row r="35" spans="1:11">
      <c r="A35" s="103">
        <v>26</v>
      </c>
      <c r="B35" s="44" t="s">
        <v>8</v>
      </c>
      <c r="C35" s="44" t="s">
        <v>170</v>
      </c>
      <c r="D35" s="44" t="s">
        <v>166</v>
      </c>
      <c r="E35" s="44">
        <v>3</v>
      </c>
      <c r="F35" s="44"/>
      <c r="G35" s="44"/>
      <c r="H35" s="44"/>
      <c r="I35" s="44"/>
      <c r="J35" s="44"/>
      <c r="K35" s="44"/>
    </row>
    <row r="36" spans="1:11">
      <c r="A36" s="44">
        <v>27</v>
      </c>
      <c r="B36" s="44" t="s">
        <v>8</v>
      </c>
      <c r="C36" s="44" t="s">
        <v>171</v>
      </c>
      <c r="D36" s="44" t="s">
        <v>137</v>
      </c>
      <c r="E36" s="44">
        <f>ROUND(E32*'[1]附表C-2营造林技术经济指标表'!$F$141,2)</f>
        <v>9.45</v>
      </c>
      <c r="F36" s="93"/>
      <c r="G36" s="44"/>
      <c r="H36" s="44"/>
      <c r="I36" s="65"/>
      <c r="J36" s="65"/>
      <c r="K36" s="44"/>
    </row>
    <row r="37" spans="1:11">
      <c r="A37" s="103">
        <v>28</v>
      </c>
      <c r="B37" s="44" t="s">
        <v>118</v>
      </c>
      <c r="C37" s="44" t="s">
        <v>172</v>
      </c>
      <c r="D37" s="44" t="s">
        <v>70</v>
      </c>
      <c r="E37" s="44">
        <f>E8</f>
        <v>13.5</v>
      </c>
      <c r="F37" s="44"/>
      <c r="G37" s="44"/>
      <c r="H37" s="44"/>
      <c r="I37" s="65"/>
      <c r="J37" s="65"/>
      <c r="K37" s="44"/>
    </row>
    <row r="38" spans="1:11">
      <c r="A38" s="44">
        <v>29</v>
      </c>
      <c r="B38" s="44" t="s">
        <v>8</v>
      </c>
      <c r="C38" s="44" t="s">
        <v>173</v>
      </c>
      <c r="D38" s="44" t="s">
        <v>166</v>
      </c>
      <c r="E38" s="44">
        <v>5</v>
      </c>
      <c r="F38" s="44"/>
      <c r="G38" s="44"/>
      <c r="H38" s="44"/>
      <c r="I38" s="44"/>
      <c r="J38" s="44"/>
      <c r="K38" s="44"/>
    </row>
    <row r="39" spans="1:11">
      <c r="A39" s="103">
        <v>30</v>
      </c>
      <c r="B39" s="44" t="s">
        <v>8</v>
      </c>
      <c r="C39" s="44" t="s">
        <v>174</v>
      </c>
      <c r="D39" s="44" t="s">
        <v>137</v>
      </c>
      <c r="E39" s="44">
        <f>ROUND(E37*('[1]附表C-2营造林技术经济指标表'!$F$127+'[1]附表C-2营造林技术经济指标表'!$F$137),2)</f>
        <v>90.72</v>
      </c>
      <c r="F39" s="44"/>
      <c r="G39" s="44"/>
      <c r="H39" s="44"/>
      <c r="I39" s="44"/>
      <c r="J39" s="44"/>
      <c r="K39" s="44"/>
    </row>
    <row r="40" spans="1:11">
      <c r="A40" s="44">
        <v>31</v>
      </c>
      <c r="B40" s="44" t="s">
        <v>119</v>
      </c>
      <c r="C40" s="44" t="s">
        <v>105</v>
      </c>
      <c r="D40" s="44" t="s">
        <v>70</v>
      </c>
      <c r="E40" s="44">
        <f>E8</f>
        <v>13.5</v>
      </c>
      <c r="F40" s="44"/>
      <c r="G40" s="44"/>
      <c r="H40" s="44"/>
      <c r="I40" s="65"/>
      <c r="J40" s="65"/>
      <c r="K40" s="44"/>
    </row>
    <row r="41" spans="1:11">
      <c r="A41" s="103">
        <v>32</v>
      </c>
      <c r="B41" s="44" t="s">
        <v>8</v>
      </c>
      <c r="C41" s="44" t="s">
        <v>175</v>
      </c>
      <c r="D41" s="44" t="s">
        <v>176</v>
      </c>
      <c r="E41" s="44">
        <v>3</v>
      </c>
      <c r="F41" s="44"/>
      <c r="G41" s="44"/>
      <c r="H41" s="44"/>
      <c r="I41" s="44"/>
      <c r="J41" s="44"/>
      <c r="K41" s="44"/>
    </row>
    <row r="42" spans="1:11">
      <c r="A42" s="44">
        <v>33</v>
      </c>
      <c r="B42" s="44" t="s">
        <v>8</v>
      </c>
      <c r="C42" s="44" t="s">
        <v>177</v>
      </c>
      <c r="D42" s="44" t="s">
        <v>178</v>
      </c>
      <c r="E42" s="44">
        <v>2250</v>
      </c>
      <c r="F42" s="44"/>
      <c r="G42" s="44"/>
      <c r="H42" s="44"/>
      <c r="I42" s="44"/>
      <c r="J42" s="44"/>
      <c r="K42" s="44"/>
    </row>
    <row r="43" spans="1:11">
      <c r="A43" s="103">
        <v>34</v>
      </c>
      <c r="B43" s="44" t="s">
        <v>8</v>
      </c>
      <c r="C43" s="44" t="s">
        <v>179</v>
      </c>
      <c r="D43" s="44" t="s">
        <v>180</v>
      </c>
      <c r="E43" s="44">
        <f>ROUND(24000/E42,2)</f>
        <v>10.67</v>
      </c>
      <c r="F43" s="44"/>
      <c r="G43" s="44"/>
      <c r="H43" s="44"/>
      <c r="I43" s="44"/>
      <c r="J43" s="44"/>
      <c r="K43" s="44"/>
    </row>
    <row r="44" spans="1:11">
      <c r="A44" s="44">
        <v>35</v>
      </c>
      <c r="B44" s="44" t="s">
        <v>8</v>
      </c>
      <c r="C44" s="44" t="s">
        <v>181</v>
      </c>
      <c r="D44" s="44" t="s">
        <v>137</v>
      </c>
      <c r="E44" s="44">
        <f>ROUND(E40*'[1]附表C-2营造林技术经济指标表'!$F$143,2)</f>
        <v>3.38</v>
      </c>
      <c r="F44" s="44"/>
      <c r="G44" s="44"/>
      <c r="H44" s="44"/>
      <c r="I44" s="65"/>
      <c r="J44" s="65"/>
      <c r="K44" s="44"/>
    </row>
    <row r="45" spans="1:13">
      <c r="A45" s="44" t="s">
        <v>8</v>
      </c>
      <c r="B45" s="44" t="s">
        <v>8</v>
      </c>
      <c r="C45" s="44" t="s">
        <v>106</v>
      </c>
      <c r="D45" s="44" t="s">
        <v>8</v>
      </c>
      <c r="E45" s="44" t="s">
        <v>8</v>
      </c>
      <c r="F45" s="104">
        <f>F8+F10+F12+F16+F18+F27+F32+F37+F40</f>
        <v>607.49568</v>
      </c>
      <c r="G45" s="104">
        <f>G8+G10+G12+G16+G18+G27+G32+G37+G40</f>
        <v>0</v>
      </c>
      <c r="H45" s="104"/>
      <c r="I45" s="104">
        <f>I8+I10+I12+I16+I18+I27+I32+I37+I40</f>
        <v>12.15</v>
      </c>
      <c r="J45" s="104">
        <f>J8+J10+J12+J16+J18+J27+J32+J37+J40</f>
        <v>30.37</v>
      </c>
      <c r="K45" s="104">
        <f>K8+K10+K12+K16+K18+K27+K32+K37+K40</f>
        <v>650.01568</v>
      </c>
      <c r="M45" s="1">
        <f>ROUND(K45/E40,2)</f>
        <v>48.15</v>
      </c>
    </row>
    <row r="47" ht="165.6" customHeight="1" spans="7:11">
      <c r="G47" s="49"/>
      <c r="H47" s="49"/>
      <c r="I47" s="49"/>
      <c r="J47" s="49"/>
      <c r="K47" s="49"/>
    </row>
    <row r="48" ht="23.4" customHeight="1" spans="1:11">
      <c r="A48" s="41" t="s">
        <v>0</v>
      </c>
      <c r="B48" s="41" t="s">
        <v>0</v>
      </c>
      <c r="C48" s="42" t="s">
        <v>77</v>
      </c>
      <c r="D48" s="42" t="s">
        <v>0</v>
      </c>
      <c r="E48" s="42" t="s">
        <v>0</v>
      </c>
      <c r="F48" s="42" t="s">
        <v>0</v>
      </c>
      <c r="G48" s="42" t="s">
        <v>0</v>
      </c>
      <c r="H48" s="42" t="s">
        <v>0</v>
      </c>
      <c r="I48" s="42" t="s">
        <v>0</v>
      </c>
      <c r="J48" s="49" t="s">
        <v>182</v>
      </c>
      <c r="K48" s="49" t="s">
        <v>0</v>
      </c>
    </row>
    <row r="49" spans="1:11">
      <c r="A49" s="43" t="s">
        <v>79</v>
      </c>
      <c r="B49" s="43" t="s">
        <v>0</v>
      </c>
      <c r="C49" s="43" t="s">
        <v>0</v>
      </c>
      <c r="D49" s="43" t="s">
        <v>0</v>
      </c>
      <c r="E49" s="43" t="s">
        <v>0</v>
      </c>
      <c r="F49" s="43" t="s">
        <v>0</v>
      </c>
      <c r="G49" s="43" t="s">
        <v>0</v>
      </c>
      <c r="H49" s="43" t="s">
        <v>0</v>
      </c>
      <c r="I49" s="43" t="s">
        <v>0</v>
      </c>
      <c r="J49" s="43" t="s">
        <v>0</v>
      </c>
      <c r="K49" s="43" t="s">
        <v>0</v>
      </c>
    </row>
    <row r="50" spans="1:11">
      <c r="A50" s="28" t="s">
        <v>22</v>
      </c>
      <c r="B50" s="28" t="s">
        <v>0</v>
      </c>
      <c r="C50" s="17" t="s">
        <v>80</v>
      </c>
      <c r="D50" s="17" t="s">
        <v>0</v>
      </c>
      <c r="E50" s="17" t="s">
        <v>0</v>
      </c>
      <c r="F50" s="17" t="s">
        <v>0</v>
      </c>
      <c r="G50" s="17" t="s">
        <v>0</v>
      </c>
      <c r="H50" s="17" t="s">
        <v>0</v>
      </c>
      <c r="I50" s="17" t="s">
        <v>0</v>
      </c>
      <c r="J50" s="17" t="s">
        <v>81</v>
      </c>
      <c r="K50" s="17" t="s">
        <v>0</v>
      </c>
    </row>
    <row r="51" spans="1:11">
      <c r="A51" s="28" t="s">
        <v>82</v>
      </c>
      <c r="B51" s="28" t="s">
        <v>0</v>
      </c>
      <c r="C51" s="17" t="s">
        <v>183</v>
      </c>
      <c r="D51" s="17" t="s">
        <v>0</v>
      </c>
      <c r="E51" s="17" t="s">
        <v>0</v>
      </c>
      <c r="F51" s="17" t="s">
        <v>0</v>
      </c>
      <c r="G51" s="17" t="s">
        <v>0</v>
      </c>
      <c r="H51" s="17" t="s">
        <v>0</v>
      </c>
      <c r="I51" s="17" t="s">
        <v>0</v>
      </c>
      <c r="J51" s="34" t="str">
        <f>"工程数量："&amp;'[1]附表C-6营造林工程投资概算'!$D$9</f>
        <v>工程数量：62.71</v>
      </c>
      <c r="K51" s="34" t="s">
        <v>0</v>
      </c>
    </row>
    <row r="52" spans="1:11">
      <c r="A52" s="28" t="s">
        <v>84</v>
      </c>
      <c r="B52" s="28" t="s">
        <v>0</v>
      </c>
      <c r="C52" s="17" t="s">
        <v>184</v>
      </c>
      <c r="D52" s="17" t="s">
        <v>0</v>
      </c>
      <c r="E52" s="17" t="s">
        <v>0</v>
      </c>
      <c r="F52" s="17" t="s">
        <v>0</v>
      </c>
      <c r="G52" s="17" t="s">
        <v>0</v>
      </c>
      <c r="H52" s="17" t="s">
        <v>0</v>
      </c>
      <c r="I52" s="17" t="s">
        <v>0</v>
      </c>
      <c r="J52" s="34" t="str">
        <f>'D3-3 分部分项工程量清单综合单价计算表(分页不带材料)~1'!J24:K24</f>
        <v>综合单价：48.15元 </v>
      </c>
      <c r="K52" s="34" t="s">
        <v>0</v>
      </c>
    </row>
    <row r="53" spans="1:11">
      <c r="A53" s="44" t="s">
        <v>28</v>
      </c>
      <c r="B53" s="44" t="s">
        <v>86</v>
      </c>
      <c r="C53" s="44" t="s">
        <v>87</v>
      </c>
      <c r="D53" s="44" t="s">
        <v>57</v>
      </c>
      <c r="E53" s="44" t="s">
        <v>88</v>
      </c>
      <c r="F53" s="44" t="s">
        <v>89</v>
      </c>
      <c r="G53" s="44" t="s">
        <v>0</v>
      </c>
      <c r="H53" s="44" t="s">
        <v>0</v>
      </c>
      <c r="I53" s="44" t="s">
        <v>0</v>
      </c>
      <c r="J53" s="44" t="s">
        <v>0</v>
      </c>
      <c r="K53" s="44" t="s">
        <v>0</v>
      </c>
    </row>
    <row r="54" spans="1:11">
      <c r="A54" s="60" t="s">
        <v>0</v>
      </c>
      <c r="B54" s="60" t="s">
        <v>0</v>
      </c>
      <c r="C54" s="60" t="s">
        <v>0</v>
      </c>
      <c r="D54" s="60" t="s">
        <v>0</v>
      </c>
      <c r="E54" s="60" t="s">
        <v>0</v>
      </c>
      <c r="F54" s="62" t="s">
        <v>63</v>
      </c>
      <c r="G54" s="62" t="s">
        <v>64</v>
      </c>
      <c r="H54" s="62" t="s">
        <v>65</v>
      </c>
      <c r="I54" s="62" t="s">
        <v>66</v>
      </c>
      <c r="J54" s="62" t="s">
        <v>67</v>
      </c>
      <c r="K54" s="62" t="s">
        <v>90</v>
      </c>
    </row>
    <row r="55" spans="1:11">
      <c r="A55" s="44" t="s">
        <v>68</v>
      </c>
      <c r="B55" s="44" t="s">
        <v>111</v>
      </c>
      <c r="C55" s="44" t="s">
        <v>91</v>
      </c>
      <c r="D55" s="44" t="s">
        <v>70</v>
      </c>
      <c r="E55" s="44">
        <f>'[1]附表C-6营造林工程投资概算'!$D$9</f>
        <v>62.71</v>
      </c>
      <c r="F55" s="44">
        <f>F56</f>
        <v>2821.93217</v>
      </c>
      <c r="G55" s="44"/>
      <c r="H55" s="44" t="s">
        <v>0</v>
      </c>
      <c r="I55" s="65">
        <f>ROUND(F55*0.02,2)</f>
        <v>56.44</v>
      </c>
      <c r="J55" s="65">
        <f>ROUND(F55*0.05,2)</f>
        <v>141.1</v>
      </c>
      <c r="K55" s="44">
        <f>SUM(F55:J55)</f>
        <v>3019.47217</v>
      </c>
    </row>
    <row r="56" spans="1:12">
      <c r="A56" s="44" t="s">
        <v>71</v>
      </c>
      <c r="B56" s="44" t="s">
        <v>8</v>
      </c>
      <c r="C56" s="44" t="s">
        <v>136</v>
      </c>
      <c r="D56" s="44" t="s">
        <v>137</v>
      </c>
      <c r="E56" s="44">
        <f>ROUND(E55*'[1]附表C-2营造林技术经济指标表'!$G$116,2)</f>
        <v>3531.83</v>
      </c>
      <c r="F56" s="44">
        <f>ROUND($E55*'[1]附表C-2营造林技术经济指标表'!$G$116,2)*0.94*0.85</f>
        <v>2821.93217</v>
      </c>
      <c r="G56" s="44"/>
      <c r="H56" s="44" t="s">
        <v>8</v>
      </c>
      <c r="I56" s="65">
        <f>ROUND(F56*0.02,2)</f>
        <v>56.44</v>
      </c>
      <c r="J56" s="65">
        <f>ROUND(F56*0.05,2)</f>
        <v>141.1</v>
      </c>
      <c r="K56" s="44">
        <f>SUM(F56:J56)</f>
        <v>3019.47217</v>
      </c>
      <c r="L56" s="1">
        <f>F56/E55</f>
        <v>44.9997156753309</v>
      </c>
    </row>
    <row r="57" spans="1:11">
      <c r="A57" s="44" t="s">
        <v>73</v>
      </c>
      <c r="B57" s="44" t="s">
        <v>112</v>
      </c>
      <c r="C57" s="44" t="s">
        <v>92</v>
      </c>
      <c r="D57" s="44" t="s">
        <v>70</v>
      </c>
      <c r="E57" s="44">
        <f>E55</f>
        <v>62.71</v>
      </c>
      <c r="F57" s="44"/>
      <c r="G57" s="44"/>
      <c r="H57" s="44"/>
      <c r="I57" s="65"/>
      <c r="J57" s="65"/>
      <c r="K57" s="44"/>
    </row>
    <row r="58" spans="1:11">
      <c r="A58" s="44" t="s">
        <v>94</v>
      </c>
      <c r="B58" s="44" t="s">
        <v>8</v>
      </c>
      <c r="C58" s="44" t="s">
        <v>139</v>
      </c>
      <c r="D58" s="44" t="s">
        <v>137</v>
      </c>
      <c r="E58" s="44">
        <f>ROUND(E57*'[1]附表C-2营造林技术经济指标表'!$G$117,2)</f>
        <v>74.47</v>
      </c>
      <c r="F58" s="44"/>
      <c r="G58" s="44"/>
      <c r="H58" s="44"/>
      <c r="I58" s="65"/>
      <c r="J58" s="65"/>
      <c r="K58" s="44"/>
    </row>
    <row r="59" spans="1:11">
      <c r="A59" s="44" t="s">
        <v>96</v>
      </c>
      <c r="B59" s="44" t="s">
        <v>113</v>
      </c>
      <c r="C59" s="44" t="s">
        <v>93</v>
      </c>
      <c r="D59" s="44" t="s">
        <v>70</v>
      </c>
      <c r="E59" s="44">
        <f>E55</f>
        <v>62.71</v>
      </c>
      <c r="F59" s="44"/>
      <c r="G59" s="44"/>
      <c r="H59" s="44"/>
      <c r="I59" s="65"/>
      <c r="J59" s="65"/>
      <c r="K59" s="44"/>
    </row>
    <row r="60" spans="1:11">
      <c r="A60" s="44" t="s">
        <v>98</v>
      </c>
      <c r="B60" s="44" t="s">
        <v>8</v>
      </c>
      <c r="C60" s="44" t="s">
        <v>141</v>
      </c>
      <c r="D60" s="44" t="s">
        <v>142</v>
      </c>
      <c r="E60" s="93">
        <f>E61</f>
        <v>13921.62</v>
      </c>
      <c r="F60" s="44"/>
      <c r="G60" s="44"/>
      <c r="H60" s="44"/>
      <c r="I60" s="65"/>
      <c r="J60" s="65"/>
      <c r="K60" s="44"/>
    </row>
    <row r="61" spans="1:11">
      <c r="A61" s="44" t="s">
        <v>100</v>
      </c>
      <c r="B61" s="44" t="s">
        <v>8</v>
      </c>
      <c r="C61" s="44" t="s">
        <v>143</v>
      </c>
      <c r="D61" s="44" t="s">
        <v>142</v>
      </c>
      <c r="E61" s="93">
        <f>ROUND($E59*'[1]附表C-2营造林技术经济指标表'!$G$82*1000,2)</f>
        <v>13921.62</v>
      </c>
      <c r="F61" s="44"/>
      <c r="G61" s="44"/>
      <c r="H61" s="44"/>
      <c r="I61" s="65"/>
      <c r="J61" s="65"/>
      <c r="K61" s="44"/>
    </row>
    <row r="62" spans="1:11">
      <c r="A62" s="44" t="s">
        <v>102</v>
      </c>
      <c r="B62" s="44" t="s">
        <v>8</v>
      </c>
      <c r="C62" s="44" t="s">
        <v>144</v>
      </c>
      <c r="D62" s="44" t="s">
        <v>137</v>
      </c>
      <c r="E62" s="44">
        <f>ROUND($E59*'[1]附表C-2营造林技术经济指标表'!$G$121,2)</f>
        <v>46.41</v>
      </c>
      <c r="F62" s="44"/>
      <c r="G62" s="44"/>
      <c r="H62" s="44"/>
      <c r="I62" s="65"/>
      <c r="J62" s="65"/>
      <c r="K62" s="44"/>
    </row>
    <row r="63" spans="1:11">
      <c r="A63" s="44" t="s">
        <v>104</v>
      </c>
      <c r="B63" s="44" t="s">
        <v>114</v>
      </c>
      <c r="C63" s="44" t="s">
        <v>95</v>
      </c>
      <c r="D63" s="44" t="s">
        <v>70</v>
      </c>
      <c r="E63" s="44">
        <f>E55</f>
        <v>62.71</v>
      </c>
      <c r="F63" s="93"/>
      <c r="G63" s="44"/>
      <c r="H63" s="44"/>
      <c r="I63" s="65"/>
      <c r="J63" s="65"/>
      <c r="K63" s="44"/>
    </row>
    <row r="64" spans="1:11">
      <c r="A64" s="44" t="s">
        <v>146</v>
      </c>
      <c r="B64" s="44" t="s">
        <v>8</v>
      </c>
      <c r="C64" s="44" t="s">
        <v>147</v>
      </c>
      <c r="D64" s="44" t="s">
        <v>148</v>
      </c>
      <c r="E64" s="44">
        <f>ROUND(E63*'[1]附表C-2营造林技术经济指标表'!$G$159,0)</f>
        <v>0</v>
      </c>
      <c r="F64" s="44"/>
      <c r="G64" s="44"/>
      <c r="H64" s="44"/>
      <c r="I64" s="65"/>
      <c r="J64" s="65"/>
      <c r="K64" s="44"/>
    </row>
    <row r="65" spans="1:11">
      <c r="A65" s="44" t="s">
        <v>149</v>
      </c>
      <c r="B65" s="44" t="s">
        <v>115</v>
      </c>
      <c r="C65" s="44" t="s">
        <v>151</v>
      </c>
      <c r="D65" s="44" t="s">
        <v>70</v>
      </c>
      <c r="E65" s="44">
        <f>E55</f>
        <v>62.71</v>
      </c>
      <c r="F65" s="44"/>
      <c r="G65" s="44"/>
      <c r="H65" s="44"/>
      <c r="I65" s="65"/>
      <c r="J65" s="65"/>
      <c r="K65" s="44"/>
    </row>
    <row r="66" spans="1:11">
      <c r="A66" s="44" t="s">
        <v>152</v>
      </c>
      <c r="B66" s="44" t="s">
        <v>8</v>
      </c>
      <c r="C66" s="44" t="s">
        <v>153</v>
      </c>
      <c r="D66" s="44" t="s">
        <v>137</v>
      </c>
      <c r="E66" s="44">
        <f>ROUND(E65*('[1]附表C-2营造林技术经济指标表'!$G$119+'[1]附表C-2营造林技术经济指标表'!$G$123+'[1]附表C-2营造林技术经济指标表'!$G$125),2)</f>
        <v>149.06</v>
      </c>
      <c r="F66" s="44"/>
      <c r="G66" s="44"/>
      <c r="H66" s="44"/>
      <c r="I66" s="65"/>
      <c r="J66" s="65"/>
      <c r="K66" s="44"/>
    </row>
    <row r="67" spans="1:11">
      <c r="A67" s="44" t="s">
        <v>154</v>
      </c>
      <c r="B67" s="44" t="s">
        <v>8</v>
      </c>
      <c r="C67" s="44" t="s">
        <v>155</v>
      </c>
      <c r="D67" s="44" t="s">
        <v>156</v>
      </c>
      <c r="E67" s="44">
        <f>ROUND(E65*('[1]附表C-2营造林技术经济指标表'!$G$16+'[1]附表C-2营造林技术经济指标表'!$G$17),0)</f>
        <v>7651</v>
      </c>
      <c r="F67" s="44"/>
      <c r="G67" s="44"/>
      <c r="H67" s="44"/>
      <c r="I67" s="65"/>
      <c r="J67" s="65"/>
      <c r="K67" s="44"/>
    </row>
    <row r="68" spans="1:11">
      <c r="A68" s="44" t="s">
        <v>157</v>
      </c>
      <c r="B68" s="44" t="s">
        <v>8</v>
      </c>
      <c r="C68" s="44" t="s">
        <v>185</v>
      </c>
      <c r="D68" s="44" t="s">
        <v>156</v>
      </c>
      <c r="E68" s="44">
        <f>E67</f>
        <v>7651</v>
      </c>
      <c r="F68" s="44"/>
      <c r="G68" s="44"/>
      <c r="H68" s="44"/>
      <c r="I68" s="65"/>
      <c r="J68" s="65"/>
      <c r="K68" s="44"/>
    </row>
    <row r="69" spans="1:1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</row>
    <row r="70" ht="173.4" customHeight="1" spans="1:11">
      <c r="A70" s="17" t="s">
        <v>0</v>
      </c>
      <c r="B70" s="17" t="s">
        <v>0</v>
      </c>
      <c r="C70" s="17" t="s">
        <v>0</v>
      </c>
      <c r="D70" s="17" t="s">
        <v>0</v>
      </c>
      <c r="E70" s="17" t="s">
        <v>0</v>
      </c>
      <c r="F70" s="17" t="s">
        <v>0</v>
      </c>
      <c r="G70" s="49"/>
      <c r="H70" s="49"/>
      <c r="I70" s="49"/>
      <c r="J70" s="49"/>
      <c r="K70" s="49"/>
    </row>
    <row r="71" ht="20.4" customHeight="1" spans="1:11">
      <c r="A71" s="41" t="s">
        <v>0</v>
      </c>
      <c r="B71" s="41" t="s">
        <v>0</v>
      </c>
      <c r="C71" s="42" t="s">
        <v>77</v>
      </c>
      <c r="D71" s="42" t="s">
        <v>0</v>
      </c>
      <c r="E71" s="42" t="s">
        <v>0</v>
      </c>
      <c r="F71" s="42" t="s">
        <v>0</v>
      </c>
      <c r="G71" s="42" t="s">
        <v>0</v>
      </c>
      <c r="H71" s="42" t="s">
        <v>0</v>
      </c>
      <c r="I71" s="42" t="s">
        <v>0</v>
      </c>
      <c r="J71" s="49" t="s">
        <v>186</v>
      </c>
      <c r="K71" s="49" t="s">
        <v>0</v>
      </c>
    </row>
    <row r="72" spans="1:11">
      <c r="A72" s="103">
        <v>16</v>
      </c>
      <c r="B72" s="44" t="s">
        <v>8</v>
      </c>
      <c r="C72" s="44" t="s">
        <v>160</v>
      </c>
      <c r="D72" s="44" t="s">
        <v>156</v>
      </c>
      <c r="E72" s="44"/>
      <c r="F72" s="44"/>
      <c r="G72" s="44"/>
      <c r="H72" s="44" t="s">
        <v>8</v>
      </c>
      <c r="I72" s="44" t="s">
        <v>8</v>
      </c>
      <c r="J72" s="44" t="s">
        <v>8</v>
      </c>
      <c r="K72" s="44" t="s">
        <v>8</v>
      </c>
    </row>
    <row r="73" spans="1:11">
      <c r="A73" s="44">
        <v>17</v>
      </c>
      <c r="B73" s="44" t="s">
        <v>8</v>
      </c>
      <c r="C73" s="44" t="s">
        <v>161</v>
      </c>
      <c r="D73" s="44" t="s">
        <v>156</v>
      </c>
      <c r="E73" s="44"/>
      <c r="F73" s="44"/>
      <c r="G73" s="44"/>
      <c r="H73" s="44" t="s">
        <v>8</v>
      </c>
      <c r="I73" s="44" t="s">
        <v>8</v>
      </c>
      <c r="J73" s="44" t="s">
        <v>8</v>
      </c>
      <c r="K73" s="44" t="s">
        <v>8</v>
      </c>
    </row>
    <row r="74" spans="1:11">
      <c r="A74" s="103">
        <v>18</v>
      </c>
      <c r="B74" s="44" t="s">
        <v>116</v>
      </c>
      <c r="C74" s="44" t="s">
        <v>99</v>
      </c>
      <c r="D74" s="44" t="s">
        <v>70</v>
      </c>
      <c r="E74" s="44">
        <f>E55</f>
        <v>62.71</v>
      </c>
      <c r="F74" s="44">
        <f>SUM(F75:F78)</f>
        <v>0</v>
      </c>
      <c r="G74" s="44"/>
      <c r="H74" s="44" t="s">
        <v>0</v>
      </c>
      <c r="I74" s="65">
        <f t="shared" ref="I74" si="0">ROUND(F74*0.02,2)</f>
        <v>0</v>
      </c>
      <c r="J74" s="65">
        <f t="shared" ref="J74" si="1">ROUND(F74*0.05,2)</f>
        <v>0</v>
      </c>
      <c r="K74" s="44">
        <f>SUM(F74:J74)</f>
        <v>0</v>
      </c>
    </row>
    <row r="75" spans="1:11">
      <c r="A75" s="44">
        <v>19</v>
      </c>
      <c r="B75" s="44" t="s">
        <v>8</v>
      </c>
      <c r="C75" s="44" t="s">
        <v>163</v>
      </c>
      <c r="D75" s="44" t="s">
        <v>142</v>
      </c>
      <c r="E75" s="44">
        <f>E76</f>
        <v>20882.43</v>
      </c>
      <c r="F75" s="44" t="s">
        <v>8</v>
      </c>
      <c r="G75" s="44"/>
      <c r="H75" s="44" t="s">
        <v>8</v>
      </c>
      <c r="I75" s="65"/>
      <c r="J75" s="65"/>
      <c r="K75" s="44">
        <f>SUM(F75:J75)</f>
        <v>0</v>
      </c>
    </row>
    <row r="76" spans="1:11">
      <c r="A76" s="103">
        <v>20</v>
      </c>
      <c r="B76" s="44" t="s">
        <v>8</v>
      </c>
      <c r="C76" s="44" t="s">
        <v>164</v>
      </c>
      <c r="D76" s="44" t="s">
        <v>142</v>
      </c>
      <c r="E76" s="44">
        <f>ROUND(E74*'[1]附表C-2营造林技术经济指标表'!$G$91*1000,2)</f>
        <v>20882.43</v>
      </c>
      <c r="F76" s="44"/>
      <c r="G76" s="44"/>
      <c r="H76" s="44"/>
      <c r="I76" s="65"/>
      <c r="J76" s="65"/>
      <c r="K76" s="44"/>
    </row>
    <row r="77" spans="1:11">
      <c r="A77" s="44">
        <v>21</v>
      </c>
      <c r="B77" s="44" t="s">
        <v>8</v>
      </c>
      <c r="C77" s="44" t="s">
        <v>165</v>
      </c>
      <c r="D77" s="44" t="s">
        <v>166</v>
      </c>
      <c r="E77" s="44">
        <f>'[1]附表C-2营造林技术经济指标表'!$F$90*'[1]附表C-2营造林技术经济指标表'!$F$89</f>
        <v>3</v>
      </c>
      <c r="F77" s="44"/>
      <c r="G77" s="44"/>
      <c r="H77" s="44"/>
      <c r="I77" s="65"/>
      <c r="J77" s="65"/>
      <c r="K77" s="44"/>
    </row>
    <row r="78" spans="1:11">
      <c r="A78" s="103">
        <v>22</v>
      </c>
      <c r="B78" s="44" t="s">
        <v>8</v>
      </c>
      <c r="C78" s="44" t="s">
        <v>167</v>
      </c>
      <c r="D78" s="44" t="s">
        <v>137</v>
      </c>
      <c r="E78" s="44">
        <f>ROUND(E74*'[1]附表C-2营造林技术经济指标表'!$G$135,2)</f>
        <v>139.22</v>
      </c>
      <c r="F78" s="44"/>
      <c r="G78" s="44"/>
      <c r="H78" s="44"/>
      <c r="I78" s="65"/>
      <c r="J78" s="65"/>
      <c r="K78" s="44"/>
    </row>
    <row r="79" ht="21.6" spans="1:11">
      <c r="A79" s="44">
        <v>23</v>
      </c>
      <c r="B79" s="44" t="s">
        <v>117</v>
      </c>
      <c r="C79" s="44" t="s">
        <v>101</v>
      </c>
      <c r="D79" s="44" t="s">
        <v>70</v>
      </c>
      <c r="E79" s="44">
        <f>E55</f>
        <v>62.71</v>
      </c>
      <c r="F79" s="93"/>
      <c r="G79" s="44"/>
      <c r="H79" s="44"/>
      <c r="I79" s="65"/>
      <c r="J79" s="65"/>
      <c r="K79" s="44"/>
    </row>
    <row r="80" spans="1:11">
      <c r="A80" s="103">
        <v>24</v>
      </c>
      <c r="B80" s="44" t="s">
        <v>8</v>
      </c>
      <c r="C80" s="44" t="s">
        <v>168</v>
      </c>
      <c r="D80" s="44" t="s">
        <v>142</v>
      </c>
      <c r="E80" s="44">
        <f>ROUND(E79*'[1]附表C-2营造林技术经济指标表'!$G$156,2)</f>
        <v>417.65</v>
      </c>
      <c r="F80" s="44"/>
      <c r="G80" s="44"/>
      <c r="H80" s="44"/>
      <c r="I80" s="65"/>
      <c r="J80" s="65"/>
      <c r="K80" s="44"/>
    </row>
    <row r="81" spans="1:11">
      <c r="A81" s="44">
        <v>25</v>
      </c>
      <c r="B81" s="44" t="s">
        <v>8</v>
      </c>
      <c r="C81" s="44" t="s">
        <v>169</v>
      </c>
      <c r="D81" s="44" t="s">
        <v>142</v>
      </c>
      <c r="E81" s="44">
        <f>E80</f>
        <v>417.65</v>
      </c>
      <c r="F81" s="44"/>
      <c r="G81" s="44"/>
      <c r="H81" s="44"/>
      <c r="I81" s="65"/>
      <c r="J81" s="65"/>
      <c r="K81" s="44"/>
    </row>
    <row r="82" spans="1:11">
      <c r="A82" s="103">
        <v>26</v>
      </c>
      <c r="B82" s="44" t="s">
        <v>8</v>
      </c>
      <c r="C82" s="44" t="s">
        <v>170</v>
      </c>
      <c r="D82" s="44" t="s">
        <v>166</v>
      </c>
      <c r="E82" s="44">
        <v>3</v>
      </c>
      <c r="F82" s="44"/>
      <c r="G82" s="44"/>
      <c r="H82" s="44"/>
      <c r="I82" s="65"/>
      <c r="J82" s="65"/>
      <c r="K82" s="44"/>
    </row>
    <row r="83" spans="1:11">
      <c r="A83" s="44">
        <v>27</v>
      </c>
      <c r="B83" s="44" t="s">
        <v>8</v>
      </c>
      <c r="C83" s="44" t="s">
        <v>171</v>
      </c>
      <c r="D83" s="44" t="s">
        <v>137</v>
      </c>
      <c r="E83" s="44">
        <f>ROUND(E79*'[1]附表C-2营造林技术经济指标表'!$G$141,2)</f>
        <v>43.9</v>
      </c>
      <c r="F83" s="93"/>
      <c r="G83" s="44"/>
      <c r="H83" s="44"/>
      <c r="I83" s="65"/>
      <c r="J83" s="65"/>
      <c r="K83" s="44"/>
    </row>
    <row r="84" spans="1:11">
      <c r="A84" s="103">
        <v>28</v>
      </c>
      <c r="B84" s="44" t="s">
        <v>118</v>
      </c>
      <c r="C84" s="44" t="s">
        <v>172</v>
      </c>
      <c r="D84" s="44" t="s">
        <v>70</v>
      </c>
      <c r="E84" s="44">
        <f>E55</f>
        <v>62.71</v>
      </c>
      <c r="F84" s="44"/>
      <c r="G84" s="44"/>
      <c r="H84" s="44"/>
      <c r="I84" s="65"/>
      <c r="J84" s="65"/>
      <c r="K84" s="44"/>
    </row>
    <row r="85" spans="1:11">
      <c r="A85" s="44">
        <v>29</v>
      </c>
      <c r="B85" s="44" t="s">
        <v>8</v>
      </c>
      <c r="C85" s="44" t="s">
        <v>173</v>
      </c>
      <c r="D85" s="44" t="s">
        <v>166</v>
      </c>
      <c r="E85" s="44">
        <v>5</v>
      </c>
      <c r="F85" s="44"/>
      <c r="G85" s="44"/>
      <c r="H85" s="44"/>
      <c r="I85" s="65"/>
      <c r="J85" s="65"/>
      <c r="K85" s="44"/>
    </row>
    <row r="86" spans="1:11">
      <c r="A86" s="103">
        <v>30</v>
      </c>
      <c r="B86" s="44" t="s">
        <v>8</v>
      </c>
      <c r="C86" s="44" t="s">
        <v>174</v>
      </c>
      <c r="D86" s="44" t="s">
        <v>137</v>
      </c>
      <c r="E86" s="44">
        <f>ROUND(E84*('[1]附表C-2营造林技术经济指标表'!$G$127+'[1]附表C-2营造林技术经济指标表'!$G$137),2)</f>
        <v>421.41</v>
      </c>
      <c r="F86" s="44"/>
      <c r="G86" s="44"/>
      <c r="H86" s="44"/>
      <c r="I86" s="65"/>
      <c r="J86" s="65"/>
      <c r="K86" s="44"/>
    </row>
    <row r="87" spans="1:11">
      <c r="A87" s="44">
        <v>31</v>
      </c>
      <c r="B87" s="44" t="s">
        <v>119</v>
      </c>
      <c r="C87" s="44" t="s">
        <v>105</v>
      </c>
      <c r="D87" s="44" t="s">
        <v>70</v>
      </c>
      <c r="E87" s="44">
        <f>E55</f>
        <v>62.71</v>
      </c>
      <c r="F87" s="44"/>
      <c r="G87" s="44"/>
      <c r="H87" s="44"/>
      <c r="I87" s="65"/>
      <c r="J87" s="65"/>
      <c r="K87" s="44"/>
    </row>
    <row r="88" spans="1:11">
      <c r="A88" s="103">
        <v>32</v>
      </c>
      <c r="B88" s="44" t="s">
        <v>8</v>
      </c>
      <c r="C88" s="44" t="s">
        <v>175</v>
      </c>
      <c r="D88" s="44" t="s">
        <v>176</v>
      </c>
      <c r="E88" s="44">
        <v>3</v>
      </c>
      <c r="F88" s="44"/>
      <c r="G88" s="44"/>
      <c r="H88" s="44"/>
      <c r="I88" s="65"/>
      <c r="J88" s="65"/>
      <c r="K88" s="44"/>
    </row>
    <row r="89" spans="1:11">
      <c r="A89" s="44">
        <v>33</v>
      </c>
      <c r="B89" s="44" t="s">
        <v>8</v>
      </c>
      <c r="C89" s="44" t="s">
        <v>177</v>
      </c>
      <c r="D89" s="44" t="s">
        <v>178</v>
      </c>
      <c r="E89" s="44">
        <v>2250</v>
      </c>
      <c r="F89" s="44"/>
      <c r="G89" s="44"/>
      <c r="H89" s="44"/>
      <c r="I89" s="65"/>
      <c r="J89" s="65"/>
      <c r="K89" s="44"/>
    </row>
    <row r="90" spans="1:11">
      <c r="A90" s="103">
        <v>34</v>
      </c>
      <c r="B90" s="44" t="s">
        <v>8</v>
      </c>
      <c r="C90" s="44" t="s">
        <v>179</v>
      </c>
      <c r="D90" s="44" t="s">
        <v>180</v>
      </c>
      <c r="E90" s="44">
        <f>ROUND(24000/E89,2)</f>
        <v>10.67</v>
      </c>
      <c r="F90" s="44"/>
      <c r="G90" s="44"/>
      <c r="H90" s="44"/>
      <c r="I90" s="65"/>
      <c r="J90" s="65"/>
      <c r="K90" s="44"/>
    </row>
    <row r="91" spans="1:11">
      <c r="A91" s="44">
        <v>35</v>
      </c>
      <c r="B91" s="44" t="s">
        <v>8</v>
      </c>
      <c r="C91" s="44" t="s">
        <v>181</v>
      </c>
      <c r="D91" s="44" t="s">
        <v>137</v>
      </c>
      <c r="E91" s="44">
        <f>ROUND(E87*'[1]附表C-2营造林技术经济指标表'!$G$143,2)</f>
        <v>15.68</v>
      </c>
      <c r="F91" s="44"/>
      <c r="G91" s="44"/>
      <c r="H91" s="44"/>
      <c r="I91" s="65"/>
      <c r="J91" s="65"/>
      <c r="K91" s="44"/>
    </row>
    <row r="92" spans="1:13">
      <c r="A92" s="44" t="s">
        <v>8</v>
      </c>
      <c r="B92" s="44" t="s">
        <v>8</v>
      </c>
      <c r="C92" s="44" t="s">
        <v>106</v>
      </c>
      <c r="D92" s="44" t="s">
        <v>8</v>
      </c>
      <c r="E92" s="44" t="s">
        <v>8</v>
      </c>
      <c r="F92" s="104">
        <f>F55+F57+F59+F63+F65+F74+F79+F84+F87</f>
        <v>2821.93217</v>
      </c>
      <c r="G92" s="104">
        <f>G55+G57+G59+G63+G65+G74+G79+G84+G87</f>
        <v>0</v>
      </c>
      <c r="H92" s="104"/>
      <c r="I92" s="104">
        <f>I55+I57+I59+I63+I65+I74+I79+I84+I87</f>
        <v>56.44</v>
      </c>
      <c r="J92" s="104">
        <f>J55+J57+J59+J63+J65+J74+J79+J84+J87</f>
        <v>141.1</v>
      </c>
      <c r="K92" s="104">
        <f>K55+K57+K59+K63+K65+K74+K79+K84+K87</f>
        <v>3019.47217</v>
      </c>
      <c r="M92" s="1">
        <f>ROUND(K92/E87,2)</f>
        <v>48.15</v>
      </c>
    </row>
    <row r="94" ht="167.4" customHeight="1" spans="7:11">
      <c r="G94" s="49"/>
      <c r="H94" s="49"/>
      <c r="I94" s="49"/>
      <c r="J94" s="49"/>
      <c r="K94" s="49"/>
    </row>
    <row r="95" ht="24.6" customHeight="1" spans="1:11">
      <c r="A95" s="41" t="s">
        <v>0</v>
      </c>
      <c r="B95" s="41" t="s">
        <v>0</v>
      </c>
      <c r="C95" s="42" t="s">
        <v>77</v>
      </c>
      <c r="D95" s="42" t="s">
        <v>0</v>
      </c>
      <c r="E95" s="42" t="s">
        <v>0</v>
      </c>
      <c r="F95" s="42" t="s">
        <v>0</v>
      </c>
      <c r="G95" s="42" t="s">
        <v>0</v>
      </c>
      <c r="H95" s="42" t="s">
        <v>0</v>
      </c>
      <c r="I95" s="42" t="s">
        <v>0</v>
      </c>
      <c r="J95" s="49" t="s">
        <v>187</v>
      </c>
      <c r="K95" s="49" t="s">
        <v>0</v>
      </c>
    </row>
    <row r="96" spans="1:11">
      <c r="A96" s="43" t="s">
        <v>79</v>
      </c>
      <c r="B96" s="43" t="s">
        <v>0</v>
      </c>
      <c r="C96" s="43" t="s">
        <v>0</v>
      </c>
      <c r="D96" s="43" t="s">
        <v>0</v>
      </c>
      <c r="E96" s="43" t="s">
        <v>0</v>
      </c>
      <c r="F96" s="43" t="s">
        <v>0</v>
      </c>
      <c r="G96" s="43" t="s">
        <v>0</v>
      </c>
      <c r="H96" s="43" t="s">
        <v>0</v>
      </c>
      <c r="I96" s="43" t="s">
        <v>0</v>
      </c>
      <c r="J96" s="43" t="s">
        <v>0</v>
      </c>
      <c r="K96" s="43" t="s">
        <v>0</v>
      </c>
    </row>
    <row r="97" spans="1:11">
      <c r="A97" s="28" t="s">
        <v>22</v>
      </c>
      <c r="B97" s="28" t="s">
        <v>0</v>
      </c>
      <c r="C97" s="17" t="s">
        <v>80</v>
      </c>
      <c r="D97" s="17" t="s">
        <v>0</v>
      </c>
      <c r="E97" s="17" t="s">
        <v>0</v>
      </c>
      <c r="F97" s="17" t="s">
        <v>0</v>
      </c>
      <c r="G97" s="17" t="s">
        <v>0</v>
      </c>
      <c r="H97" s="17" t="s">
        <v>0</v>
      </c>
      <c r="I97" s="17" t="s">
        <v>0</v>
      </c>
      <c r="J97" s="17" t="s">
        <v>81</v>
      </c>
      <c r="K97" s="17" t="s">
        <v>0</v>
      </c>
    </row>
    <row r="98" spans="1:11">
      <c r="A98" s="28" t="s">
        <v>82</v>
      </c>
      <c r="B98" s="28" t="s">
        <v>0</v>
      </c>
      <c r="C98" s="17" t="s">
        <v>188</v>
      </c>
      <c r="D98" s="17" t="s">
        <v>0</v>
      </c>
      <c r="E98" s="17" t="s">
        <v>0</v>
      </c>
      <c r="F98" s="17" t="s">
        <v>0</v>
      </c>
      <c r="G98" s="17" t="s">
        <v>0</v>
      </c>
      <c r="H98" s="17" t="s">
        <v>0</v>
      </c>
      <c r="I98" s="17" t="s">
        <v>0</v>
      </c>
      <c r="J98" s="34" t="str">
        <f>"工程数量："&amp;'[1]附表C-6营造林工程投资概算'!$D$10</f>
        <v>工程数量：0.45</v>
      </c>
      <c r="K98" s="34" t="s">
        <v>0</v>
      </c>
    </row>
    <row r="99" spans="1:11">
      <c r="A99" s="28" t="s">
        <v>84</v>
      </c>
      <c r="B99" s="28" t="s">
        <v>0</v>
      </c>
      <c r="C99" s="17" t="s">
        <v>122</v>
      </c>
      <c r="D99" s="17" t="s">
        <v>0</v>
      </c>
      <c r="E99" s="17" t="s">
        <v>0</v>
      </c>
      <c r="F99" s="17" t="s">
        <v>0</v>
      </c>
      <c r="G99" s="17" t="s">
        <v>0</v>
      </c>
      <c r="H99" s="17" t="s">
        <v>0</v>
      </c>
      <c r="I99" s="17" t="s">
        <v>0</v>
      </c>
      <c r="J99" s="34" t="str">
        <f>'D3-3 分部分项工程量清单综合单价计算表(分页不带材料)~1'!J43:K43</f>
        <v>综合单价：18.39元 </v>
      </c>
      <c r="K99" s="34" t="s">
        <v>0</v>
      </c>
    </row>
    <row r="100" spans="1:11">
      <c r="A100" s="44" t="s">
        <v>28</v>
      </c>
      <c r="B100" s="44" t="s">
        <v>86</v>
      </c>
      <c r="C100" s="44" t="s">
        <v>87</v>
      </c>
      <c r="D100" s="44" t="s">
        <v>57</v>
      </c>
      <c r="E100" s="44" t="s">
        <v>88</v>
      </c>
      <c r="F100" s="44" t="s">
        <v>89</v>
      </c>
      <c r="G100" s="44" t="s">
        <v>0</v>
      </c>
      <c r="H100" s="44" t="s">
        <v>0</v>
      </c>
      <c r="I100" s="44" t="s">
        <v>0</v>
      </c>
      <c r="J100" s="44" t="s">
        <v>0</v>
      </c>
      <c r="K100" s="44" t="s">
        <v>0</v>
      </c>
    </row>
    <row r="101" spans="1:11">
      <c r="A101" s="60" t="s">
        <v>0</v>
      </c>
      <c r="B101" s="60" t="s">
        <v>0</v>
      </c>
      <c r="C101" s="60" t="s">
        <v>0</v>
      </c>
      <c r="D101" s="60" t="s">
        <v>0</v>
      </c>
      <c r="E101" s="60" t="s">
        <v>0</v>
      </c>
      <c r="F101" s="62" t="s">
        <v>63</v>
      </c>
      <c r="G101" s="62" t="s">
        <v>64</v>
      </c>
      <c r="H101" s="62" t="s">
        <v>65</v>
      </c>
      <c r="I101" s="62" t="s">
        <v>66</v>
      </c>
      <c r="J101" s="62" t="s">
        <v>67</v>
      </c>
      <c r="K101" s="62" t="s">
        <v>90</v>
      </c>
    </row>
    <row r="102" spans="1:11">
      <c r="A102" s="44" t="s">
        <v>68</v>
      </c>
      <c r="B102" s="44" t="s">
        <v>123</v>
      </c>
      <c r="C102" s="44" t="s">
        <v>91</v>
      </c>
      <c r="D102" s="44" t="s">
        <v>70</v>
      </c>
      <c r="E102" s="44">
        <f>'[1]附表C-6营造林工程投资概算'!$D$10</f>
        <v>0.45</v>
      </c>
      <c r="F102" s="44">
        <f>F103</f>
        <v>7.73432</v>
      </c>
      <c r="G102" s="44"/>
      <c r="H102" s="44" t="s">
        <v>0</v>
      </c>
      <c r="I102" s="65">
        <f t="shared" ref="I102:I103" si="2">ROUND(F102*0.02,2)</f>
        <v>0.15</v>
      </c>
      <c r="J102" s="65">
        <f t="shared" ref="J102:J103" si="3">ROUND(F102*0.05,2)</f>
        <v>0.39</v>
      </c>
      <c r="K102" s="44">
        <f>SUM(F102:J102)</f>
        <v>8.27432</v>
      </c>
    </row>
    <row r="103" spans="1:12">
      <c r="A103" s="44" t="s">
        <v>71</v>
      </c>
      <c r="B103" s="44" t="s">
        <v>8</v>
      </c>
      <c r="C103" s="44" t="s">
        <v>136</v>
      </c>
      <c r="D103" s="44" t="s">
        <v>137</v>
      </c>
      <c r="E103" s="44">
        <f>ROUND(E102*'[1]附表C-2营造林技术经济指标表'!$H$116,2)</f>
        <v>9.68</v>
      </c>
      <c r="F103" s="44">
        <f>ROUND($E102*'[1]附表C-2营造林技术经济指标表'!$H$116,2)*0.94*0.85</f>
        <v>7.73432</v>
      </c>
      <c r="G103" s="44"/>
      <c r="H103" s="44" t="s">
        <v>8</v>
      </c>
      <c r="I103" s="65">
        <f t="shared" si="2"/>
        <v>0.15</v>
      </c>
      <c r="J103" s="65">
        <f t="shared" si="3"/>
        <v>0.39</v>
      </c>
      <c r="K103" s="44">
        <f>SUM(F103:J103)</f>
        <v>8.27432</v>
      </c>
      <c r="L103" s="1">
        <f>F103/E102</f>
        <v>17.1873777777778</v>
      </c>
    </row>
    <row r="104" spans="1:11">
      <c r="A104" s="44" t="s">
        <v>73</v>
      </c>
      <c r="B104" s="44" t="s">
        <v>124</v>
      </c>
      <c r="C104" s="44" t="s">
        <v>92</v>
      </c>
      <c r="D104" s="44" t="s">
        <v>70</v>
      </c>
      <c r="E104" s="44">
        <f>E102</f>
        <v>0.45</v>
      </c>
      <c r="F104" s="44"/>
      <c r="G104" s="44"/>
      <c r="H104" s="44"/>
      <c r="I104" s="65"/>
      <c r="J104" s="65"/>
      <c r="K104" s="44"/>
    </row>
    <row r="105" spans="1:11">
      <c r="A105" s="44" t="s">
        <v>94</v>
      </c>
      <c r="B105" s="44" t="s">
        <v>8</v>
      </c>
      <c r="C105" s="44" t="s">
        <v>139</v>
      </c>
      <c r="D105" s="44" t="s">
        <v>137</v>
      </c>
      <c r="E105" s="44">
        <f>ROUND(E104*'[1]附表C-2营造林技术经济指标表'!$H$117,2)</f>
        <v>0.68</v>
      </c>
      <c r="F105" s="44"/>
      <c r="G105" s="44"/>
      <c r="H105" s="44"/>
      <c r="I105" s="65"/>
      <c r="J105" s="65"/>
      <c r="K105" s="44"/>
    </row>
    <row r="106" spans="1:11">
      <c r="A106" s="44" t="s">
        <v>96</v>
      </c>
      <c r="B106" s="44" t="s">
        <v>125</v>
      </c>
      <c r="C106" s="44" t="s">
        <v>93</v>
      </c>
      <c r="D106" s="44" t="s">
        <v>70</v>
      </c>
      <c r="E106" s="44">
        <f>E102</f>
        <v>0.45</v>
      </c>
      <c r="F106" s="44"/>
      <c r="G106" s="44"/>
      <c r="H106" s="44"/>
      <c r="I106" s="65"/>
      <c r="J106" s="65"/>
      <c r="K106" s="44"/>
    </row>
    <row r="107" spans="1:11">
      <c r="A107" s="44" t="s">
        <v>98</v>
      </c>
      <c r="B107" s="44" t="s">
        <v>8</v>
      </c>
      <c r="C107" s="44" t="s">
        <v>141</v>
      </c>
      <c r="D107" s="44" t="s">
        <v>142</v>
      </c>
      <c r="E107" s="93">
        <f>E108</f>
        <v>75.6</v>
      </c>
      <c r="F107" s="44"/>
      <c r="G107" s="44"/>
      <c r="H107" s="44"/>
      <c r="I107" s="65"/>
      <c r="J107" s="65"/>
      <c r="K107" s="44"/>
    </row>
    <row r="108" spans="1:11">
      <c r="A108" s="44" t="s">
        <v>100</v>
      </c>
      <c r="B108" s="44" t="s">
        <v>8</v>
      </c>
      <c r="C108" s="44" t="s">
        <v>143</v>
      </c>
      <c r="D108" s="44" t="s">
        <v>142</v>
      </c>
      <c r="E108" s="93">
        <f>ROUND($E106*'[1]附表C-2营造林技术经济指标表'!$H$82*1000,2)</f>
        <v>75.6</v>
      </c>
      <c r="F108" s="44"/>
      <c r="G108" s="44"/>
      <c r="H108" s="44"/>
      <c r="I108" s="65"/>
      <c r="J108" s="65"/>
      <c r="K108" s="44"/>
    </row>
    <row r="109" spans="1:11">
      <c r="A109" s="44" t="s">
        <v>102</v>
      </c>
      <c r="B109" s="44" t="s">
        <v>8</v>
      </c>
      <c r="C109" s="44" t="s">
        <v>144</v>
      </c>
      <c r="D109" s="44" t="s">
        <v>137</v>
      </c>
      <c r="E109" s="44">
        <f>ROUND($E106*'[1]附表C-2营造林技术经济指标表'!$H$121,2)</f>
        <v>0.13</v>
      </c>
      <c r="F109" s="44"/>
      <c r="G109" s="44"/>
      <c r="H109" s="44"/>
      <c r="I109" s="65"/>
      <c r="J109" s="65"/>
      <c r="K109" s="44"/>
    </row>
    <row r="110" spans="1:11">
      <c r="A110" s="44" t="s">
        <v>104</v>
      </c>
      <c r="B110" s="44" t="s">
        <v>126</v>
      </c>
      <c r="C110" s="44" t="s">
        <v>95</v>
      </c>
      <c r="D110" s="44" t="s">
        <v>70</v>
      </c>
      <c r="E110" s="44">
        <f>E102</f>
        <v>0.45</v>
      </c>
      <c r="F110" s="93"/>
      <c r="G110" s="44"/>
      <c r="H110" s="44"/>
      <c r="I110" s="65"/>
      <c r="J110" s="65"/>
      <c r="K110" s="44"/>
    </row>
    <row r="111" spans="1:11">
      <c r="A111" s="44" t="s">
        <v>146</v>
      </c>
      <c r="B111" s="44" t="s">
        <v>8</v>
      </c>
      <c r="C111" s="44" t="s">
        <v>147</v>
      </c>
      <c r="D111" s="44" t="s">
        <v>148</v>
      </c>
      <c r="E111" s="44">
        <f>ROUND(E110*'[1]附表C-2营造林技术经济指标表'!$H$159,0)</f>
        <v>57</v>
      </c>
      <c r="F111" s="44"/>
      <c r="G111" s="44"/>
      <c r="H111" s="44"/>
      <c r="I111" s="65"/>
      <c r="J111" s="65"/>
      <c r="K111" s="44"/>
    </row>
    <row r="112" spans="1:11">
      <c r="A112" s="44" t="s">
        <v>149</v>
      </c>
      <c r="B112" s="44" t="s">
        <v>127</v>
      </c>
      <c r="C112" s="44" t="s">
        <v>151</v>
      </c>
      <c r="D112" s="44" t="s">
        <v>70</v>
      </c>
      <c r="E112" s="44">
        <f>E102</f>
        <v>0.45</v>
      </c>
      <c r="F112" s="44"/>
      <c r="G112" s="44"/>
      <c r="H112" s="44"/>
      <c r="I112" s="65"/>
      <c r="J112" s="65"/>
      <c r="K112" s="44"/>
    </row>
    <row r="113" spans="1:11">
      <c r="A113" s="44" t="s">
        <v>152</v>
      </c>
      <c r="B113" s="44" t="s">
        <v>8</v>
      </c>
      <c r="C113" s="44" t="s">
        <v>153</v>
      </c>
      <c r="D113" s="44" t="s">
        <v>137</v>
      </c>
      <c r="E113" s="44">
        <f>ROUND(E112*('[1]附表C-2营造林技术经济指标表'!$H$119+'[1]附表C-2营造林技术经济指标表'!$H$123+'[1]附表C-2营造林技术经济指标表'!$H$125),2)</f>
        <v>1.11</v>
      </c>
      <c r="F113" s="44"/>
      <c r="G113" s="44"/>
      <c r="H113" s="44"/>
      <c r="I113" s="65"/>
      <c r="J113" s="65"/>
      <c r="K113" s="44"/>
    </row>
    <row r="114" spans="1:11">
      <c r="A114" s="44" t="s">
        <v>154</v>
      </c>
      <c r="B114" s="44" t="s">
        <v>8</v>
      </c>
      <c r="C114" s="44" t="s">
        <v>155</v>
      </c>
      <c r="D114" s="44" t="s">
        <v>156</v>
      </c>
      <c r="E114" s="44">
        <f>ROUND(E112*('[1]附表C-2营造林技术经济指标表'!$H$16+'[1]附表C-2营造林技术经济指标表'!$H$17),0)</f>
        <v>21</v>
      </c>
      <c r="F114" s="44"/>
      <c r="G114" s="44"/>
      <c r="H114" s="44"/>
      <c r="I114" s="65"/>
      <c r="J114" s="65"/>
      <c r="K114" s="44"/>
    </row>
    <row r="115" spans="1:11">
      <c r="A115" s="44" t="s">
        <v>157</v>
      </c>
      <c r="B115" s="44" t="s">
        <v>8</v>
      </c>
      <c r="C115" s="44" t="s">
        <v>189</v>
      </c>
      <c r="D115" s="44" t="s">
        <v>156</v>
      </c>
      <c r="E115" s="44">
        <f>E114</f>
        <v>21</v>
      </c>
      <c r="F115" s="44"/>
      <c r="G115" s="44"/>
      <c r="H115" s="44"/>
      <c r="I115" s="65"/>
      <c r="J115" s="65"/>
      <c r="K115" s="44"/>
    </row>
    <row r="116" spans="1:1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</row>
    <row r="117" ht="168.6" customHeight="1" spans="1:11">
      <c r="A117" s="17" t="s">
        <v>0</v>
      </c>
      <c r="B117" s="17" t="s">
        <v>0</v>
      </c>
      <c r="C117" s="17" t="s">
        <v>0</v>
      </c>
      <c r="D117" s="17" t="s">
        <v>0</v>
      </c>
      <c r="E117" s="17" t="s">
        <v>0</v>
      </c>
      <c r="F117" s="17" t="s">
        <v>0</v>
      </c>
      <c r="G117" s="49"/>
      <c r="H117" s="49"/>
      <c r="I117" s="49"/>
      <c r="J117" s="49"/>
      <c r="K117" s="49"/>
    </row>
    <row r="118" ht="25.8" customHeight="1" spans="1:11">
      <c r="A118" s="41" t="s">
        <v>0</v>
      </c>
      <c r="B118" s="41" t="s">
        <v>0</v>
      </c>
      <c r="C118" s="42" t="s">
        <v>77</v>
      </c>
      <c r="D118" s="42" t="s">
        <v>0</v>
      </c>
      <c r="E118" s="42" t="s">
        <v>0</v>
      </c>
      <c r="F118" s="42" t="s">
        <v>0</v>
      </c>
      <c r="G118" s="42" t="s">
        <v>0</v>
      </c>
      <c r="H118" s="42" t="s">
        <v>0</v>
      </c>
      <c r="I118" s="42" t="s">
        <v>0</v>
      </c>
      <c r="J118" s="49" t="s">
        <v>190</v>
      </c>
      <c r="K118" s="49" t="s">
        <v>0</v>
      </c>
    </row>
    <row r="119" spans="1:11">
      <c r="A119" s="103">
        <v>16</v>
      </c>
      <c r="B119" s="44" t="s">
        <v>8</v>
      </c>
      <c r="C119" s="44" t="s">
        <v>160</v>
      </c>
      <c r="D119" s="44" t="s">
        <v>156</v>
      </c>
      <c r="E119" s="44"/>
      <c r="F119" s="44"/>
      <c r="G119" s="44"/>
      <c r="H119" s="44" t="s">
        <v>8</v>
      </c>
      <c r="I119" s="44" t="s">
        <v>8</v>
      </c>
      <c r="J119" s="44" t="s">
        <v>8</v>
      </c>
      <c r="K119" s="44" t="s">
        <v>8</v>
      </c>
    </row>
    <row r="120" spans="1:11">
      <c r="A120" s="44">
        <v>17</v>
      </c>
      <c r="B120" s="44" t="s">
        <v>8</v>
      </c>
      <c r="C120" s="44" t="s">
        <v>161</v>
      </c>
      <c r="D120" s="44" t="s">
        <v>156</v>
      </c>
      <c r="E120" s="44"/>
      <c r="F120" s="44"/>
      <c r="G120" s="44"/>
      <c r="H120" s="44"/>
      <c r="I120" s="44"/>
      <c r="J120" s="44"/>
      <c r="K120" s="44"/>
    </row>
    <row r="121" spans="1:11">
      <c r="A121" s="103">
        <v>18</v>
      </c>
      <c r="B121" s="44" t="s">
        <v>128</v>
      </c>
      <c r="C121" s="44" t="s">
        <v>99</v>
      </c>
      <c r="D121" s="44" t="s">
        <v>70</v>
      </c>
      <c r="E121" s="44">
        <f>E102</f>
        <v>0.45</v>
      </c>
      <c r="F121" s="44"/>
      <c r="G121" s="44"/>
      <c r="H121" s="44"/>
      <c r="I121" s="65"/>
      <c r="J121" s="65"/>
      <c r="K121" s="44"/>
    </row>
    <row r="122" spans="1:11">
      <c r="A122" s="44">
        <v>19</v>
      </c>
      <c r="B122" s="44" t="s">
        <v>8</v>
      </c>
      <c r="C122" s="44" t="s">
        <v>163</v>
      </c>
      <c r="D122" s="44" t="s">
        <v>142</v>
      </c>
      <c r="E122" s="44">
        <f>E123</f>
        <v>113.4</v>
      </c>
      <c r="F122" s="44"/>
      <c r="G122" s="44"/>
      <c r="H122" s="44"/>
      <c r="I122" s="65"/>
      <c r="J122" s="65"/>
      <c r="K122" s="44"/>
    </row>
    <row r="123" spans="1:11">
      <c r="A123" s="103">
        <v>20</v>
      </c>
      <c r="B123" s="44" t="s">
        <v>8</v>
      </c>
      <c r="C123" s="44" t="s">
        <v>164</v>
      </c>
      <c r="D123" s="44" t="s">
        <v>142</v>
      </c>
      <c r="E123" s="44">
        <f>ROUND(E121*'[1]附表C-2营造林技术经济指标表'!$H$91*1000,2)</f>
        <v>113.4</v>
      </c>
      <c r="F123" s="44"/>
      <c r="G123" s="44"/>
      <c r="H123" s="44"/>
      <c r="I123" s="65"/>
      <c r="J123" s="65"/>
      <c r="K123" s="44"/>
    </row>
    <row r="124" spans="1:11">
      <c r="A124" s="44">
        <v>21</v>
      </c>
      <c r="B124" s="44" t="s">
        <v>8</v>
      </c>
      <c r="C124" s="44" t="s">
        <v>165</v>
      </c>
      <c r="D124" s="44" t="s">
        <v>166</v>
      </c>
      <c r="E124" s="44">
        <f>'[1]附表C-2营造林技术经济指标表'!$F$90*'[1]附表C-2营造林技术经济指标表'!$F$89</f>
        <v>3</v>
      </c>
      <c r="F124" s="44"/>
      <c r="G124" s="44"/>
      <c r="H124" s="44"/>
      <c r="I124" s="65"/>
      <c r="J124" s="65"/>
      <c r="K124" s="44"/>
    </row>
    <row r="125" spans="1:11">
      <c r="A125" s="103">
        <v>22</v>
      </c>
      <c r="B125" s="44" t="s">
        <v>8</v>
      </c>
      <c r="C125" s="44" t="s">
        <v>167</v>
      </c>
      <c r="D125" s="44" t="s">
        <v>137</v>
      </c>
      <c r="E125" s="44">
        <f>ROUND(E121*'[1]附表C-2营造林技术经济指标表'!$H$135,2)</f>
        <v>0.38</v>
      </c>
      <c r="F125" s="44"/>
      <c r="G125" s="44"/>
      <c r="H125" s="44"/>
      <c r="I125" s="65"/>
      <c r="J125" s="65"/>
      <c r="K125" s="44"/>
    </row>
    <row r="126" ht="21.6" spans="1:11">
      <c r="A126" s="44">
        <v>23</v>
      </c>
      <c r="B126" s="44" t="s">
        <v>129</v>
      </c>
      <c r="C126" s="44" t="s">
        <v>101</v>
      </c>
      <c r="D126" s="44" t="s">
        <v>70</v>
      </c>
      <c r="E126" s="44">
        <f>E102</f>
        <v>0.45</v>
      </c>
      <c r="F126" s="93"/>
      <c r="G126" s="44"/>
      <c r="H126" s="44"/>
      <c r="I126" s="65"/>
      <c r="J126" s="65"/>
      <c r="K126" s="44"/>
    </row>
    <row r="127" spans="1:11">
      <c r="A127" s="103">
        <v>24</v>
      </c>
      <c r="B127" s="44" t="s">
        <v>8</v>
      </c>
      <c r="C127" s="44" t="s">
        <v>168</v>
      </c>
      <c r="D127" s="44" t="s">
        <v>142</v>
      </c>
      <c r="E127" s="44">
        <f>ROUND(E126*'[1]附表C-2营造林技术经济指标表'!$H$156,2)</f>
        <v>1.13</v>
      </c>
      <c r="F127" s="44"/>
      <c r="G127" s="44"/>
      <c r="H127" s="44"/>
      <c r="I127" s="65"/>
      <c r="J127" s="65"/>
      <c r="K127" s="44"/>
    </row>
    <row r="128" spans="1:11">
      <c r="A128" s="44">
        <v>25</v>
      </c>
      <c r="B128" s="44" t="s">
        <v>8</v>
      </c>
      <c r="C128" s="44" t="s">
        <v>169</v>
      </c>
      <c r="D128" s="44" t="s">
        <v>142</v>
      </c>
      <c r="E128" s="44">
        <f>E127</f>
        <v>1.13</v>
      </c>
      <c r="F128" s="44"/>
      <c r="G128" s="44"/>
      <c r="H128" s="44"/>
      <c r="I128" s="65"/>
      <c r="J128" s="65"/>
      <c r="K128" s="44"/>
    </row>
    <row r="129" spans="1:11">
      <c r="A129" s="103">
        <v>26</v>
      </c>
      <c r="B129" s="44" t="s">
        <v>8</v>
      </c>
      <c r="C129" s="44" t="s">
        <v>170</v>
      </c>
      <c r="D129" s="44" t="s">
        <v>166</v>
      </c>
      <c r="E129" s="44">
        <v>3</v>
      </c>
      <c r="F129" s="44"/>
      <c r="G129" s="44"/>
      <c r="H129" s="44"/>
      <c r="I129" s="65"/>
      <c r="J129" s="65"/>
      <c r="K129" s="44"/>
    </row>
    <row r="130" spans="1:11">
      <c r="A130" s="44">
        <v>27</v>
      </c>
      <c r="B130" s="44" t="s">
        <v>8</v>
      </c>
      <c r="C130" s="44" t="s">
        <v>171</v>
      </c>
      <c r="D130" s="44" t="s">
        <v>137</v>
      </c>
      <c r="E130" s="44">
        <f>ROUND(E126*'[1]附表C-2营造林技术经济指标表'!$H$141,2)</f>
        <v>0.12</v>
      </c>
      <c r="F130" s="93"/>
      <c r="G130" s="44"/>
      <c r="H130" s="44"/>
      <c r="I130" s="65"/>
      <c r="J130" s="65"/>
      <c r="K130" s="44"/>
    </row>
    <row r="131" spans="1:11">
      <c r="A131" s="103">
        <v>28</v>
      </c>
      <c r="B131" s="44" t="s">
        <v>130</v>
      </c>
      <c r="C131" s="44" t="s">
        <v>172</v>
      </c>
      <c r="D131" s="44" t="s">
        <v>70</v>
      </c>
      <c r="E131" s="44">
        <f>E102</f>
        <v>0.45</v>
      </c>
      <c r="F131" s="44"/>
      <c r="G131" s="44"/>
      <c r="H131" s="44"/>
      <c r="I131" s="65"/>
      <c r="J131" s="65"/>
      <c r="K131" s="44"/>
    </row>
    <row r="132" spans="1:11">
      <c r="A132" s="44">
        <v>29</v>
      </c>
      <c r="B132" s="44" t="s">
        <v>8</v>
      </c>
      <c r="C132" s="44" t="s">
        <v>173</v>
      </c>
      <c r="D132" s="44" t="s">
        <v>166</v>
      </c>
      <c r="E132" s="44">
        <v>5</v>
      </c>
      <c r="F132" s="44"/>
      <c r="G132" s="44"/>
      <c r="H132" s="44"/>
      <c r="I132" s="65"/>
      <c r="J132" s="65"/>
      <c r="K132" s="44"/>
    </row>
    <row r="133" spans="1:11">
      <c r="A133" s="103">
        <v>30</v>
      </c>
      <c r="B133" s="44" t="s">
        <v>8</v>
      </c>
      <c r="C133" s="44" t="s">
        <v>174</v>
      </c>
      <c r="D133" s="44" t="s">
        <v>137</v>
      </c>
      <c r="E133" s="44">
        <f>ROUND(E131*('[1]附表C-2营造林技术经济指标表'!$H$127+'[1]附表C-2营造林技术经济指标表'!$H$137),2)</f>
        <v>1.15</v>
      </c>
      <c r="F133" s="44"/>
      <c r="G133" s="44"/>
      <c r="H133" s="44"/>
      <c r="I133" s="65"/>
      <c r="J133" s="65"/>
      <c r="K133" s="44"/>
    </row>
    <row r="134" spans="1:11">
      <c r="A134" s="44">
        <v>31</v>
      </c>
      <c r="B134" s="44" t="s">
        <v>131</v>
      </c>
      <c r="C134" s="44" t="s">
        <v>105</v>
      </c>
      <c r="D134" s="44" t="s">
        <v>70</v>
      </c>
      <c r="E134" s="44">
        <f>E102</f>
        <v>0.45</v>
      </c>
      <c r="F134" s="44"/>
      <c r="G134" s="44"/>
      <c r="H134" s="44"/>
      <c r="I134" s="65"/>
      <c r="J134" s="65"/>
      <c r="K134" s="44"/>
    </row>
    <row r="135" spans="1:11">
      <c r="A135" s="103">
        <v>32</v>
      </c>
      <c r="B135" s="44" t="s">
        <v>8</v>
      </c>
      <c r="C135" s="44" t="s">
        <v>175</v>
      </c>
      <c r="D135" s="44" t="s">
        <v>176</v>
      </c>
      <c r="E135" s="44">
        <v>3</v>
      </c>
      <c r="F135" s="44"/>
      <c r="G135" s="44"/>
      <c r="H135" s="44"/>
      <c r="I135" s="65"/>
      <c r="J135" s="65"/>
      <c r="K135" s="44"/>
    </row>
    <row r="136" spans="1:11">
      <c r="A136" s="44">
        <v>33</v>
      </c>
      <c r="B136" s="44" t="s">
        <v>8</v>
      </c>
      <c r="C136" s="44" t="s">
        <v>177</v>
      </c>
      <c r="D136" s="44" t="s">
        <v>178</v>
      </c>
      <c r="E136" s="44">
        <v>2250</v>
      </c>
      <c r="F136" s="44"/>
      <c r="G136" s="44"/>
      <c r="H136" s="44"/>
      <c r="I136" s="65"/>
      <c r="J136" s="65"/>
      <c r="K136" s="44"/>
    </row>
    <row r="137" spans="1:11">
      <c r="A137" s="103">
        <v>34</v>
      </c>
      <c r="B137" s="44" t="s">
        <v>8</v>
      </c>
      <c r="C137" s="44" t="s">
        <v>179</v>
      </c>
      <c r="D137" s="44" t="s">
        <v>180</v>
      </c>
      <c r="E137" s="44">
        <f>ROUND(24000/E136,2)</f>
        <v>10.67</v>
      </c>
      <c r="F137" s="44"/>
      <c r="G137" s="44"/>
      <c r="H137" s="44"/>
      <c r="I137" s="65"/>
      <c r="J137" s="65"/>
      <c r="K137" s="44"/>
    </row>
    <row r="138" spans="1:11">
      <c r="A138" s="44">
        <v>35</v>
      </c>
      <c r="B138" s="44" t="s">
        <v>8</v>
      </c>
      <c r="C138" s="44" t="s">
        <v>181</v>
      </c>
      <c r="D138" s="44" t="s">
        <v>137</v>
      </c>
      <c r="E138" s="44">
        <f>ROUND(E134*'[1]附表C-2营造林技术经济指标表'!$H$143,2)</f>
        <v>0.11</v>
      </c>
      <c r="F138" s="44"/>
      <c r="G138" s="44"/>
      <c r="H138" s="44"/>
      <c r="I138" s="65"/>
      <c r="J138" s="65"/>
      <c r="K138" s="44"/>
    </row>
    <row r="139" spans="1:13">
      <c r="A139" s="44" t="s">
        <v>8</v>
      </c>
      <c r="B139" s="44" t="s">
        <v>8</v>
      </c>
      <c r="C139" s="44" t="s">
        <v>106</v>
      </c>
      <c r="D139" s="44" t="s">
        <v>8</v>
      </c>
      <c r="E139" s="44" t="s">
        <v>8</v>
      </c>
      <c r="F139" s="104">
        <f>F102+F104+F106+F110+F112+F121+F126+F131+F134</f>
        <v>7.73432</v>
      </c>
      <c r="G139" s="47">
        <f>G102+G104+G106+G110+G112+G121+G126+G131+G134</f>
        <v>0</v>
      </c>
      <c r="H139" s="104"/>
      <c r="I139" s="47">
        <f>I102+I104+I106+I110+I112+I121+I126+I131+I134</f>
        <v>0.15</v>
      </c>
      <c r="J139" s="47">
        <f>J102+J104+J106+J110+J112+J121+J126+J131+J134</f>
        <v>0.39</v>
      </c>
      <c r="K139" s="47">
        <f>K102+K104+K106+K110+K112+K121+K126+K131+K134</f>
        <v>8.27432</v>
      </c>
      <c r="M139" s="1">
        <f>ROUND(K139/E134,2)</f>
        <v>18.39</v>
      </c>
    </row>
    <row r="140" ht="162" customHeight="1"/>
    <row r="141" spans="7:11">
      <c r="G141" s="49"/>
      <c r="H141" s="49"/>
      <c r="I141" s="49"/>
      <c r="J141" s="49"/>
      <c r="K141" s="49"/>
    </row>
  </sheetData>
  <mergeCells count="75">
    <mergeCell ref="A1:B1"/>
    <mergeCell ref="C1:I1"/>
    <mergeCell ref="J1:K1"/>
    <mergeCell ref="A2:K2"/>
    <mergeCell ref="A3:B3"/>
    <mergeCell ref="C3:I3"/>
    <mergeCell ref="J3:K3"/>
    <mergeCell ref="A4:B4"/>
    <mergeCell ref="C4:I4"/>
    <mergeCell ref="J4:K4"/>
    <mergeCell ref="A5:B5"/>
    <mergeCell ref="C5:I5"/>
    <mergeCell ref="J5:K5"/>
    <mergeCell ref="F6:K6"/>
    <mergeCell ref="A23:F23"/>
    <mergeCell ref="G23:K23"/>
    <mergeCell ref="A24:B24"/>
    <mergeCell ref="C24:I24"/>
    <mergeCell ref="J24:K24"/>
    <mergeCell ref="G47:K47"/>
    <mergeCell ref="A48:B48"/>
    <mergeCell ref="C48:I48"/>
    <mergeCell ref="J48:K48"/>
    <mergeCell ref="A49:K49"/>
    <mergeCell ref="A50:B50"/>
    <mergeCell ref="C50:I50"/>
    <mergeCell ref="J50:K50"/>
    <mergeCell ref="A51:B51"/>
    <mergeCell ref="C51:I51"/>
    <mergeCell ref="J51:K51"/>
    <mergeCell ref="A52:B52"/>
    <mergeCell ref="C52:I52"/>
    <mergeCell ref="J52:K52"/>
    <mergeCell ref="F53:K53"/>
    <mergeCell ref="A70:F70"/>
    <mergeCell ref="G70:K70"/>
    <mergeCell ref="A71:B71"/>
    <mergeCell ref="C71:I71"/>
    <mergeCell ref="J71:K71"/>
    <mergeCell ref="G94:K94"/>
    <mergeCell ref="A95:B95"/>
    <mergeCell ref="C95:I95"/>
    <mergeCell ref="J95:K95"/>
    <mergeCell ref="A96:K96"/>
    <mergeCell ref="A97:B97"/>
    <mergeCell ref="C97:I97"/>
    <mergeCell ref="J97:K97"/>
    <mergeCell ref="A98:B98"/>
    <mergeCell ref="C98:I98"/>
    <mergeCell ref="J98:K98"/>
    <mergeCell ref="A99:B99"/>
    <mergeCell ref="C99:I99"/>
    <mergeCell ref="J99:K99"/>
    <mergeCell ref="F100:K100"/>
    <mergeCell ref="A117:F117"/>
    <mergeCell ref="G117:K117"/>
    <mergeCell ref="A118:B118"/>
    <mergeCell ref="C118:I118"/>
    <mergeCell ref="J118:K118"/>
    <mergeCell ref="G141:K141"/>
    <mergeCell ref="A6:A7"/>
    <mergeCell ref="A53:A54"/>
    <mergeCell ref="A100:A101"/>
    <mergeCell ref="B6:B7"/>
    <mergeCell ref="B53:B54"/>
    <mergeCell ref="B100:B101"/>
    <mergeCell ref="C6:C7"/>
    <mergeCell ref="C53:C54"/>
    <mergeCell ref="C100:C101"/>
    <mergeCell ref="D6:D7"/>
    <mergeCell ref="D53:D54"/>
    <mergeCell ref="D100:D101"/>
    <mergeCell ref="E6:E7"/>
    <mergeCell ref="E53:E54"/>
    <mergeCell ref="E100:E10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59"/>
  <sheetViews>
    <sheetView showZeros="0" topLeftCell="A49" workbookViewId="0">
      <selection activeCell="I58" sqref="I18 I38 I58"/>
    </sheetView>
  </sheetViews>
  <sheetFormatPr defaultColWidth="8.88888888888889" defaultRowHeight="14.4"/>
  <cols>
    <col min="1" max="4" width="8.88888888888889" style="1"/>
    <col min="5" max="5" width="11" style="1" customWidth="1"/>
    <col min="6" max="6" width="22" style="1" customWidth="1"/>
    <col min="7" max="7" width="13.787037037037" style="1" customWidth="1"/>
    <col min="8" max="8" width="7" style="1" customWidth="1"/>
    <col min="9" max="9" width="8.88888888888889" style="1"/>
    <col min="10" max="10" width="4.44444444444444" style="1" customWidth="1"/>
    <col min="11" max="11" width="5.11111111111111" style="1" customWidth="1"/>
    <col min="12" max="12" width="11.3333333333333" style="1" customWidth="1"/>
    <col min="13" max="13" width="7.33333333333333" style="1" customWidth="1"/>
    <col min="14" max="16384" width="8.88888888888889" style="1"/>
  </cols>
  <sheetData>
    <row r="1" ht="38.4" customHeight="1" spans="1:13">
      <c r="A1" s="14" t="s">
        <v>191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3" t="s">
        <v>192</v>
      </c>
      <c r="M1" s="13"/>
    </row>
    <row r="2" customHeight="1" spans="1:13">
      <c r="A2" s="28" t="s">
        <v>22</v>
      </c>
      <c r="B2" s="28" t="s">
        <v>0</v>
      </c>
      <c r="C2" s="17" t="s">
        <v>80</v>
      </c>
      <c r="D2" s="17" t="s">
        <v>0</v>
      </c>
      <c r="E2" s="17" t="s">
        <v>0</v>
      </c>
      <c r="F2" s="17" t="s">
        <v>0</v>
      </c>
      <c r="G2" s="17"/>
      <c r="H2" s="17" t="s">
        <v>0</v>
      </c>
      <c r="I2" s="17" t="s">
        <v>0</v>
      </c>
      <c r="J2" s="17" t="s">
        <v>0</v>
      </c>
      <c r="K2" s="17" t="s">
        <v>81</v>
      </c>
      <c r="L2" s="17" t="s">
        <v>0</v>
      </c>
      <c r="M2" s="33"/>
    </row>
    <row r="3" customHeight="1" spans="1:13">
      <c r="A3" s="28" t="s">
        <v>82</v>
      </c>
      <c r="B3" s="28" t="s">
        <v>0</v>
      </c>
      <c r="C3" s="17" t="s">
        <v>133</v>
      </c>
      <c r="D3" s="17" t="s">
        <v>0</v>
      </c>
      <c r="E3" s="17" t="s">
        <v>0</v>
      </c>
      <c r="F3" s="17" t="s">
        <v>0</v>
      </c>
      <c r="G3" s="17"/>
      <c r="H3" s="17" t="s">
        <v>0</v>
      </c>
      <c r="I3" s="17" t="s">
        <v>0</v>
      </c>
      <c r="J3" s="17" t="s">
        <v>0</v>
      </c>
      <c r="K3" s="34" t="str">
        <f>"工程数量："&amp;'[1]附表C-6营造林工程投资概算'!$D$8</f>
        <v>工程数量：13.5</v>
      </c>
      <c r="L3" s="34" t="s">
        <v>0</v>
      </c>
      <c r="M3" s="15"/>
    </row>
    <row r="4" customHeight="1" spans="1:13">
      <c r="A4" s="28" t="s">
        <v>84</v>
      </c>
      <c r="B4" s="28" t="s">
        <v>0</v>
      </c>
      <c r="C4" s="17" t="s">
        <v>134</v>
      </c>
      <c r="D4" s="17" t="s">
        <v>0</v>
      </c>
      <c r="E4" s="17" t="s">
        <v>0</v>
      </c>
      <c r="F4" s="17" t="s">
        <v>0</v>
      </c>
      <c r="G4" s="17"/>
      <c r="H4" s="17" t="s">
        <v>0</v>
      </c>
      <c r="I4" s="17" t="s">
        <v>0</v>
      </c>
      <c r="J4" s="17" t="s">
        <v>0</v>
      </c>
      <c r="K4" s="34"/>
      <c r="L4" s="34"/>
      <c r="M4" s="15"/>
    </row>
    <row r="5" ht="43.8" customHeight="1" spans="1:13">
      <c r="A5" s="4" t="s">
        <v>193</v>
      </c>
      <c r="B5" s="4" t="s">
        <v>55</v>
      </c>
      <c r="C5" s="4" t="s">
        <v>0</v>
      </c>
      <c r="D5" s="4" t="s">
        <v>56</v>
      </c>
      <c r="E5" s="4" t="s">
        <v>0</v>
      </c>
      <c r="F5" s="4" t="s">
        <v>194</v>
      </c>
      <c r="G5" s="4" t="s">
        <v>195</v>
      </c>
      <c r="H5" s="4" t="s">
        <v>196</v>
      </c>
      <c r="I5" s="4" t="s">
        <v>197</v>
      </c>
      <c r="J5" s="4" t="s">
        <v>198</v>
      </c>
      <c r="K5" s="4" t="s">
        <v>0</v>
      </c>
      <c r="L5" s="4" t="s">
        <v>199</v>
      </c>
      <c r="M5" s="4" t="s">
        <v>35</v>
      </c>
    </row>
    <row r="6" spans="1:13">
      <c r="A6" s="4" t="s">
        <v>68</v>
      </c>
      <c r="B6" s="4" t="s">
        <v>200</v>
      </c>
      <c r="C6" s="4" t="s">
        <v>0</v>
      </c>
      <c r="D6" s="6" t="s">
        <v>201</v>
      </c>
      <c r="E6" s="6" t="s">
        <v>0</v>
      </c>
      <c r="F6" s="4" t="s">
        <v>8</v>
      </c>
      <c r="G6" s="4"/>
      <c r="H6" s="4" t="s">
        <v>8</v>
      </c>
      <c r="I6" s="9">
        <f>SUM(I7:I10)</f>
        <v>13.4</v>
      </c>
      <c r="J6" s="9" t="s">
        <v>0</v>
      </c>
      <c r="K6" s="9" t="s">
        <v>0</v>
      </c>
      <c r="L6" s="9" t="s">
        <v>0</v>
      </c>
      <c r="M6" s="9" t="s">
        <v>8</v>
      </c>
    </row>
    <row r="7" ht="38.4" customHeight="1" spans="1:13">
      <c r="A7" s="4" t="s">
        <v>202</v>
      </c>
      <c r="B7" s="4" t="s">
        <v>203</v>
      </c>
      <c r="C7" s="4" t="s">
        <v>0</v>
      </c>
      <c r="D7" s="6" t="s">
        <v>204</v>
      </c>
      <c r="E7" s="6" t="s">
        <v>0</v>
      </c>
      <c r="F7" s="4" t="s">
        <v>205</v>
      </c>
      <c r="G7" s="29">
        <f>'D3-3 分部分项工程量清单综合单价计算表(分页不带材料)~1'!$F$17*0.3</f>
        <v>182.248704</v>
      </c>
      <c r="H7" s="4">
        <v>0.55</v>
      </c>
      <c r="I7" s="9">
        <f>ROUND(G7*H7/100,2)</f>
        <v>1</v>
      </c>
      <c r="J7" s="9" t="s">
        <v>0</v>
      </c>
      <c r="K7" s="9" t="s">
        <v>0</v>
      </c>
      <c r="L7" s="9" t="s">
        <v>0</v>
      </c>
      <c r="M7" s="9" t="s">
        <v>8</v>
      </c>
    </row>
    <row r="8" ht="38.4" customHeight="1" spans="1:13">
      <c r="A8" s="4" t="s">
        <v>206</v>
      </c>
      <c r="B8" s="4" t="s">
        <v>207</v>
      </c>
      <c r="C8" s="4" t="s">
        <v>0</v>
      </c>
      <c r="D8" s="6" t="s">
        <v>208</v>
      </c>
      <c r="E8" s="6" t="s">
        <v>0</v>
      </c>
      <c r="F8" s="4" t="s">
        <v>205</v>
      </c>
      <c r="G8" s="29">
        <f>$G$7</f>
        <v>182.248704</v>
      </c>
      <c r="H8" s="4">
        <v>1.35</v>
      </c>
      <c r="I8" s="9">
        <f t="shared" ref="I8:I10" si="0">ROUND(G8*H8/100,2)</f>
        <v>2.46</v>
      </c>
      <c r="J8" s="9" t="s">
        <v>0</v>
      </c>
      <c r="K8" s="9" t="s">
        <v>0</v>
      </c>
      <c r="L8" s="9" t="s">
        <v>0</v>
      </c>
      <c r="M8" s="9" t="s">
        <v>8</v>
      </c>
    </row>
    <row r="9" ht="38.4" customHeight="1" spans="1:13">
      <c r="A9" s="4" t="s">
        <v>209</v>
      </c>
      <c r="B9" s="4" t="s">
        <v>210</v>
      </c>
      <c r="C9" s="4" t="s">
        <v>0</v>
      </c>
      <c r="D9" s="6" t="s">
        <v>211</v>
      </c>
      <c r="E9" s="6" t="s">
        <v>0</v>
      </c>
      <c r="F9" s="4" t="s">
        <v>205</v>
      </c>
      <c r="G9" s="29">
        <f t="shared" ref="G9:G10" si="1">$G$7</f>
        <v>182.248704</v>
      </c>
      <c r="H9" s="4">
        <v>2.1</v>
      </c>
      <c r="I9" s="9">
        <f t="shared" si="0"/>
        <v>3.83</v>
      </c>
      <c r="J9" s="9" t="s">
        <v>0</v>
      </c>
      <c r="K9" s="9" t="s">
        <v>0</v>
      </c>
      <c r="L9" s="9" t="s">
        <v>0</v>
      </c>
      <c r="M9" s="9" t="s">
        <v>8</v>
      </c>
    </row>
    <row r="10" ht="38.4" customHeight="1" spans="1:13">
      <c r="A10" s="4" t="s">
        <v>212</v>
      </c>
      <c r="B10" s="4" t="s">
        <v>213</v>
      </c>
      <c r="C10" s="4" t="s">
        <v>0</v>
      </c>
      <c r="D10" s="6" t="s">
        <v>214</v>
      </c>
      <c r="E10" s="6" t="s">
        <v>0</v>
      </c>
      <c r="F10" s="4" t="s">
        <v>205</v>
      </c>
      <c r="G10" s="29">
        <f t="shared" si="1"/>
        <v>182.248704</v>
      </c>
      <c r="H10" s="4">
        <v>3.35</v>
      </c>
      <c r="I10" s="9">
        <f t="shared" si="0"/>
        <v>6.11</v>
      </c>
      <c r="J10" s="9" t="s">
        <v>0</v>
      </c>
      <c r="K10" s="9" t="s">
        <v>0</v>
      </c>
      <c r="L10" s="9" t="s">
        <v>0</v>
      </c>
      <c r="M10" s="9" t="s">
        <v>8</v>
      </c>
    </row>
    <row r="11" customHeight="1" spans="1:13">
      <c r="A11" s="4" t="s">
        <v>71</v>
      </c>
      <c r="B11" s="4" t="s">
        <v>215</v>
      </c>
      <c r="C11" s="4" t="s">
        <v>0</v>
      </c>
      <c r="D11" s="6" t="s">
        <v>216</v>
      </c>
      <c r="E11" s="6" t="s">
        <v>0</v>
      </c>
      <c r="F11" s="4" t="s">
        <v>8</v>
      </c>
      <c r="G11" s="4"/>
      <c r="H11" s="4" t="s">
        <v>8</v>
      </c>
      <c r="I11" s="9"/>
      <c r="J11" s="9" t="s">
        <v>0</v>
      </c>
      <c r="K11" s="9" t="s">
        <v>0</v>
      </c>
      <c r="L11" s="9" t="s">
        <v>0</v>
      </c>
      <c r="M11" s="9" t="s">
        <v>8</v>
      </c>
    </row>
    <row r="12" customHeight="1" spans="1:13">
      <c r="A12" s="4" t="s">
        <v>73</v>
      </c>
      <c r="B12" s="4" t="s">
        <v>217</v>
      </c>
      <c r="C12" s="4" t="s">
        <v>0</v>
      </c>
      <c r="D12" s="6" t="s">
        <v>218</v>
      </c>
      <c r="E12" s="6" t="s">
        <v>0</v>
      </c>
      <c r="F12" s="4" t="s">
        <v>8</v>
      </c>
      <c r="G12" s="4"/>
      <c r="H12" s="4" t="s">
        <v>8</v>
      </c>
      <c r="I12" s="9"/>
      <c r="J12" s="9" t="s">
        <v>0</v>
      </c>
      <c r="K12" s="9" t="s">
        <v>0</v>
      </c>
      <c r="L12" s="9" t="s">
        <v>0</v>
      </c>
      <c r="M12" s="9" t="s">
        <v>8</v>
      </c>
    </row>
    <row r="13" ht="39" customHeight="1" spans="1:13">
      <c r="A13" s="4" t="s">
        <v>94</v>
      </c>
      <c r="B13" s="4" t="s">
        <v>219</v>
      </c>
      <c r="C13" s="4" t="s">
        <v>0</v>
      </c>
      <c r="D13" s="6" t="s">
        <v>220</v>
      </c>
      <c r="E13" s="6" t="s">
        <v>0</v>
      </c>
      <c r="F13" s="4" t="s">
        <v>205</v>
      </c>
      <c r="G13" s="29">
        <f t="shared" ref="G13" si="2">$G$7</f>
        <v>182.248704</v>
      </c>
      <c r="H13" s="30">
        <v>0.36</v>
      </c>
      <c r="I13" s="9">
        <f t="shared" ref="I13" si="3">ROUND(G13*H13/100,2)</f>
        <v>0.66</v>
      </c>
      <c r="J13" s="9" t="s">
        <v>0</v>
      </c>
      <c r="K13" s="9" t="s">
        <v>0</v>
      </c>
      <c r="L13" s="9" t="s">
        <v>0</v>
      </c>
      <c r="M13" s="9" t="s">
        <v>8</v>
      </c>
    </row>
    <row r="14" customHeight="1" spans="1:13">
      <c r="A14" s="4" t="s">
        <v>96</v>
      </c>
      <c r="B14" s="4" t="s">
        <v>221</v>
      </c>
      <c r="C14" s="4" t="s">
        <v>0</v>
      </c>
      <c r="D14" s="6" t="s">
        <v>222</v>
      </c>
      <c r="E14" s="6" t="s">
        <v>0</v>
      </c>
      <c r="F14" s="4" t="s">
        <v>8</v>
      </c>
      <c r="G14" s="4"/>
      <c r="H14" s="4" t="s">
        <v>8</v>
      </c>
      <c r="I14" s="9" t="s">
        <v>0</v>
      </c>
      <c r="J14" s="9" t="s">
        <v>0</v>
      </c>
      <c r="K14" s="9" t="s">
        <v>0</v>
      </c>
      <c r="L14" s="9" t="s">
        <v>0</v>
      </c>
      <c r="M14" s="9" t="s">
        <v>8</v>
      </c>
    </row>
    <row r="15" ht="24.6" customHeight="1" spans="1:13">
      <c r="A15" s="4" t="s">
        <v>98</v>
      </c>
      <c r="B15" s="4" t="s">
        <v>223</v>
      </c>
      <c r="C15" s="4" t="s">
        <v>0</v>
      </c>
      <c r="D15" s="6" t="s">
        <v>224</v>
      </c>
      <c r="E15" s="6" t="s">
        <v>0</v>
      </c>
      <c r="F15" s="4" t="s">
        <v>8</v>
      </c>
      <c r="G15" s="4"/>
      <c r="H15" s="4" t="s">
        <v>8</v>
      </c>
      <c r="I15" s="9" t="s">
        <v>0</v>
      </c>
      <c r="J15" s="9" t="s">
        <v>0</v>
      </c>
      <c r="K15" s="9" t="s">
        <v>0</v>
      </c>
      <c r="L15" s="9" t="s">
        <v>0</v>
      </c>
      <c r="M15" s="9" t="s">
        <v>8</v>
      </c>
    </row>
    <row r="16" customHeight="1" spans="1:13">
      <c r="A16" s="4" t="s">
        <v>100</v>
      </c>
      <c r="B16" s="4" t="s">
        <v>225</v>
      </c>
      <c r="C16" s="4" t="s">
        <v>0</v>
      </c>
      <c r="D16" s="6" t="s">
        <v>226</v>
      </c>
      <c r="E16" s="6" t="s">
        <v>0</v>
      </c>
      <c r="F16" s="4" t="s">
        <v>8</v>
      </c>
      <c r="G16" s="4"/>
      <c r="H16" s="4" t="s">
        <v>8</v>
      </c>
      <c r="I16" s="9" t="s">
        <v>0</v>
      </c>
      <c r="J16" s="9" t="s">
        <v>0</v>
      </c>
      <c r="K16" s="9" t="s">
        <v>0</v>
      </c>
      <c r="L16" s="9" t="s">
        <v>0</v>
      </c>
      <c r="M16" s="9" t="s">
        <v>8</v>
      </c>
    </row>
    <row r="17" ht="52.2" customHeight="1" spans="1:13">
      <c r="A17" s="4" t="s">
        <v>102</v>
      </c>
      <c r="B17" s="4" t="s">
        <v>227</v>
      </c>
      <c r="C17" s="4" t="s">
        <v>0</v>
      </c>
      <c r="D17" s="6" t="s">
        <v>228</v>
      </c>
      <c r="E17" s="6" t="s">
        <v>0</v>
      </c>
      <c r="F17" s="4" t="s">
        <v>229</v>
      </c>
      <c r="G17" s="29">
        <f t="shared" ref="G17" si="4">$G$7</f>
        <v>182.248704</v>
      </c>
      <c r="H17" s="30">
        <v>0.09</v>
      </c>
      <c r="I17" s="9">
        <f t="shared" ref="I17" si="5">ROUND(G17*H17/100,2)</f>
        <v>0.16</v>
      </c>
      <c r="J17" s="35"/>
      <c r="K17" s="36"/>
      <c r="L17" s="9"/>
      <c r="M17" s="9"/>
    </row>
    <row r="18" spans="1:13">
      <c r="A18" s="31" t="s">
        <v>90</v>
      </c>
      <c r="B18" s="31"/>
      <c r="C18" s="31"/>
      <c r="D18" s="31"/>
      <c r="E18" s="31"/>
      <c r="F18" s="32"/>
      <c r="G18" s="32"/>
      <c r="H18" s="32"/>
      <c r="I18" s="37">
        <f>SUM(I7:I17)</f>
        <v>14.22</v>
      </c>
      <c r="J18" s="38"/>
      <c r="K18" s="39"/>
      <c r="L18" s="32"/>
      <c r="M18" s="32"/>
    </row>
    <row r="19" ht="33" customHeight="1" spans="1:13">
      <c r="A19" s="17" t="s">
        <v>230</v>
      </c>
      <c r="B19" s="17" t="s">
        <v>0</v>
      </c>
      <c r="C19" s="17" t="s">
        <v>0</v>
      </c>
      <c r="D19" s="17" t="s">
        <v>0</v>
      </c>
      <c r="E19" s="17" t="s">
        <v>0</v>
      </c>
      <c r="F19" s="17" t="s">
        <v>0</v>
      </c>
      <c r="G19" s="17"/>
      <c r="H19" s="17" t="s">
        <v>0</v>
      </c>
      <c r="I19" s="17" t="s">
        <v>0</v>
      </c>
      <c r="J19" s="17" t="s">
        <v>0</v>
      </c>
      <c r="K19" s="17" t="s">
        <v>0</v>
      </c>
      <c r="L19" s="17" t="s">
        <v>0</v>
      </c>
      <c r="M19" s="17" t="s">
        <v>0</v>
      </c>
    </row>
    <row r="20" ht="6.6" customHeight="1"/>
    <row r="21" ht="28.2" customHeight="1" spans="1:13">
      <c r="A21" s="14" t="s">
        <v>191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 t="s">
        <v>231</v>
      </c>
      <c r="M21" s="13"/>
    </row>
    <row r="22" customHeight="1" spans="1:13">
      <c r="A22" s="28" t="s">
        <v>22</v>
      </c>
      <c r="B22" s="28" t="s">
        <v>0</v>
      </c>
      <c r="C22" s="17" t="s">
        <v>80</v>
      </c>
      <c r="D22" s="17" t="s">
        <v>0</v>
      </c>
      <c r="E22" s="17" t="s">
        <v>0</v>
      </c>
      <c r="F22" s="17" t="s">
        <v>0</v>
      </c>
      <c r="G22" s="17"/>
      <c r="H22" s="17" t="s">
        <v>0</v>
      </c>
      <c r="I22" s="17" t="s">
        <v>0</v>
      </c>
      <c r="J22" s="17" t="s">
        <v>0</v>
      </c>
      <c r="K22" s="34" t="s">
        <v>81</v>
      </c>
      <c r="L22" s="34" t="s">
        <v>0</v>
      </c>
      <c r="M22" s="33"/>
    </row>
    <row r="23" customHeight="1" spans="1:13">
      <c r="A23" s="28" t="s">
        <v>82</v>
      </c>
      <c r="B23" s="28" t="s">
        <v>0</v>
      </c>
      <c r="C23" s="17" t="s">
        <v>183</v>
      </c>
      <c r="D23" s="17" t="s">
        <v>0</v>
      </c>
      <c r="E23" s="17" t="s">
        <v>0</v>
      </c>
      <c r="F23" s="17" t="s">
        <v>0</v>
      </c>
      <c r="G23" s="17"/>
      <c r="H23" s="17" t="s">
        <v>0</v>
      </c>
      <c r="I23" s="17" t="s">
        <v>0</v>
      </c>
      <c r="J23" s="17" t="s">
        <v>0</v>
      </c>
      <c r="K23" s="34" t="str">
        <f>"工程数量："&amp;'[1]附表C-6营造林工程投资概算'!$D$9</f>
        <v>工程数量：62.71</v>
      </c>
      <c r="L23" s="34" t="s">
        <v>0</v>
      </c>
      <c r="M23" s="15"/>
    </row>
    <row r="24" customHeight="1" spans="1:13">
      <c r="A24" s="28" t="s">
        <v>84</v>
      </c>
      <c r="B24" s="28" t="s">
        <v>0</v>
      </c>
      <c r="C24" s="17" t="s">
        <v>184</v>
      </c>
      <c r="D24" s="17" t="s">
        <v>0</v>
      </c>
      <c r="E24" s="17" t="s">
        <v>0</v>
      </c>
      <c r="F24" s="17" t="s">
        <v>0</v>
      </c>
      <c r="G24" s="17"/>
      <c r="H24" s="17" t="s">
        <v>0</v>
      </c>
      <c r="I24" s="17" t="s">
        <v>0</v>
      </c>
      <c r="J24" s="17" t="s">
        <v>0</v>
      </c>
      <c r="K24" s="34"/>
      <c r="L24" s="34"/>
      <c r="M24" s="15"/>
    </row>
    <row r="25" ht="49.2" customHeight="1" spans="1:13">
      <c r="A25" s="4" t="s">
        <v>193</v>
      </c>
      <c r="B25" s="4" t="s">
        <v>55</v>
      </c>
      <c r="C25" s="4" t="s">
        <v>0</v>
      </c>
      <c r="D25" s="4" t="s">
        <v>56</v>
      </c>
      <c r="E25" s="4" t="s">
        <v>0</v>
      </c>
      <c r="F25" s="4" t="s">
        <v>194</v>
      </c>
      <c r="G25" s="4" t="s">
        <v>195</v>
      </c>
      <c r="H25" s="4" t="s">
        <v>196</v>
      </c>
      <c r="I25" s="4" t="s">
        <v>197</v>
      </c>
      <c r="J25" s="4" t="s">
        <v>198</v>
      </c>
      <c r="K25" s="4" t="s">
        <v>0</v>
      </c>
      <c r="L25" s="4" t="s">
        <v>199</v>
      </c>
      <c r="M25" s="4" t="s">
        <v>35</v>
      </c>
    </row>
    <row r="26" spans="1:13">
      <c r="A26" s="4" t="s">
        <v>68</v>
      </c>
      <c r="B26" s="4" t="s">
        <v>232</v>
      </c>
      <c r="C26" s="4" t="s">
        <v>0</v>
      </c>
      <c r="D26" s="6" t="s">
        <v>201</v>
      </c>
      <c r="E26" s="6" t="s">
        <v>0</v>
      </c>
      <c r="F26" s="4" t="s">
        <v>8</v>
      </c>
      <c r="G26" s="4"/>
      <c r="H26" s="4" t="s">
        <v>8</v>
      </c>
      <c r="I26" s="9">
        <f>SUM(I27:I30)</f>
        <v>62.23</v>
      </c>
      <c r="J26" s="9" t="s">
        <v>0</v>
      </c>
      <c r="K26" s="9" t="s">
        <v>0</v>
      </c>
      <c r="L26" s="9" t="s">
        <v>0</v>
      </c>
      <c r="M26" s="9" t="s">
        <v>8</v>
      </c>
    </row>
    <row r="27" ht="32.4" customHeight="1" spans="1:13">
      <c r="A27" s="4" t="s">
        <v>202</v>
      </c>
      <c r="B27" s="4" t="s">
        <v>203</v>
      </c>
      <c r="C27" s="4" t="s">
        <v>0</v>
      </c>
      <c r="D27" s="6" t="s">
        <v>204</v>
      </c>
      <c r="E27" s="6" t="s">
        <v>0</v>
      </c>
      <c r="F27" s="102" t="s">
        <v>205</v>
      </c>
      <c r="G27" s="29">
        <f>'D3-3 分部分项工程量清单综合单价计算表(分页不带材料)~1'!$F$36*0.3</f>
        <v>846.579651</v>
      </c>
      <c r="H27" s="4">
        <v>0.55</v>
      </c>
      <c r="I27" s="9">
        <f>ROUND(G27*H27/100,2)</f>
        <v>4.66</v>
      </c>
      <c r="J27" s="9" t="s">
        <v>0</v>
      </c>
      <c r="K27" s="9" t="s">
        <v>0</v>
      </c>
      <c r="L27" s="9" t="s">
        <v>0</v>
      </c>
      <c r="M27" s="9" t="s">
        <v>8</v>
      </c>
    </row>
    <row r="28" ht="32.4" customHeight="1" spans="1:13">
      <c r="A28" s="4" t="s">
        <v>206</v>
      </c>
      <c r="B28" s="4" t="s">
        <v>207</v>
      </c>
      <c r="C28" s="4" t="s">
        <v>0</v>
      </c>
      <c r="D28" s="6" t="s">
        <v>208</v>
      </c>
      <c r="E28" s="6" t="s">
        <v>0</v>
      </c>
      <c r="F28" s="102" t="s">
        <v>205</v>
      </c>
      <c r="G28" s="29">
        <f>$G$27</f>
        <v>846.579651</v>
      </c>
      <c r="H28" s="4">
        <v>1.35</v>
      </c>
      <c r="I28" s="9">
        <f>ROUND(G28*H28/100,2)</f>
        <v>11.43</v>
      </c>
      <c r="J28" s="9" t="s">
        <v>0</v>
      </c>
      <c r="K28" s="9" t="s">
        <v>0</v>
      </c>
      <c r="L28" s="9" t="s">
        <v>0</v>
      </c>
      <c r="M28" s="9" t="s">
        <v>8</v>
      </c>
    </row>
    <row r="29" ht="32.4" customHeight="1" spans="1:13">
      <c r="A29" s="4" t="s">
        <v>209</v>
      </c>
      <c r="B29" s="4" t="s">
        <v>210</v>
      </c>
      <c r="C29" s="4" t="s">
        <v>0</v>
      </c>
      <c r="D29" s="6" t="s">
        <v>211</v>
      </c>
      <c r="E29" s="6" t="s">
        <v>0</v>
      </c>
      <c r="F29" s="102" t="s">
        <v>205</v>
      </c>
      <c r="G29" s="29">
        <f t="shared" ref="G29:G30" si="6">$G$27</f>
        <v>846.579651</v>
      </c>
      <c r="H29" s="4">
        <v>2.1</v>
      </c>
      <c r="I29" s="9">
        <f>ROUND(G29*H29/100,2)</f>
        <v>17.78</v>
      </c>
      <c r="J29" s="9" t="s">
        <v>0</v>
      </c>
      <c r="K29" s="9" t="s">
        <v>0</v>
      </c>
      <c r="L29" s="9" t="s">
        <v>0</v>
      </c>
      <c r="M29" s="9" t="s">
        <v>8</v>
      </c>
    </row>
    <row r="30" ht="32.4" customHeight="1" spans="1:13">
      <c r="A30" s="4" t="s">
        <v>212</v>
      </c>
      <c r="B30" s="4" t="s">
        <v>213</v>
      </c>
      <c r="C30" s="4" t="s">
        <v>0</v>
      </c>
      <c r="D30" s="6" t="s">
        <v>214</v>
      </c>
      <c r="E30" s="6" t="s">
        <v>0</v>
      </c>
      <c r="F30" s="102" t="s">
        <v>205</v>
      </c>
      <c r="G30" s="29">
        <f t="shared" si="6"/>
        <v>846.579651</v>
      </c>
      <c r="H30" s="4">
        <v>3.35</v>
      </c>
      <c r="I30" s="9">
        <f>ROUND(G30*H30/100,2)</f>
        <v>28.36</v>
      </c>
      <c r="J30" s="9" t="s">
        <v>0</v>
      </c>
      <c r="K30" s="9" t="s">
        <v>0</v>
      </c>
      <c r="L30" s="9" t="s">
        <v>0</v>
      </c>
      <c r="M30" s="9" t="s">
        <v>8</v>
      </c>
    </row>
    <row r="31" spans="1:13">
      <c r="A31" s="4" t="s">
        <v>71</v>
      </c>
      <c r="B31" s="4" t="s">
        <v>233</v>
      </c>
      <c r="C31" s="4" t="s">
        <v>0</v>
      </c>
      <c r="D31" s="6" t="s">
        <v>216</v>
      </c>
      <c r="E31" s="6" t="s">
        <v>0</v>
      </c>
      <c r="F31" s="102" t="s">
        <v>8</v>
      </c>
      <c r="G31" s="4"/>
      <c r="H31" s="4" t="s">
        <v>8</v>
      </c>
      <c r="I31" s="9"/>
      <c r="J31" s="9" t="s">
        <v>0</v>
      </c>
      <c r="K31" s="9" t="s">
        <v>0</v>
      </c>
      <c r="L31" s="9" t="s">
        <v>0</v>
      </c>
      <c r="M31" s="9" t="s">
        <v>8</v>
      </c>
    </row>
    <row r="32" spans="1:13">
      <c r="A32" s="4" t="s">
        <v>73</v>
      </c>
      <c r="B32" s="4" t="s">
        <v>234</v>
      </c>
      <c r="C32" s="4" t="s">
        <v>0</v>
      </c>
      <c r="D32" s="6" t="s">
        <v>218</v>
      </c>
      <c r="E32" s="6" t="s">
        <v>0</v>
      </c>
      <c r="F32" s="102" t="s">
        <v>8</v>
      </c>
      <c r="G32" s="4"/>
      <c r="H32" s="4" t="s">
        <v>8</v>
      </c>
      <c r="I32" s="9"/>
      <c r="J32" s="9" t="s">
        <v>0</v>
      </c>
      <c r="K32" s="9" t="s">
        <v>0</v>
      </c>
      <c r="L32" s="9" t="s">
        <v>0</v>
      </c>
      <c r="M32" s="9" t="s">
        <v>8</v>
      </c>
    </row>
    <row r="33" ht="45" customHeight="1" spans="1:13">
      <c r="A33" s="4" t="s">
        <v>94</v>
      </c>
      <c r="B33" s="4" t="s">
        <v>235</v>
      </c>
      <c r="C33" s="4" t="s">
        <v>0</v>
      </c>
      <c r="D33" s="6" t="s">
        <v>220</v>
      </c>
      <c r="E33" s="6" t="s">
        <v>0</v>
      </c>
      <c r="F33" s="102" t="s">
        <v>205</v>
      </c>
      <c r="G33" s="29">
        <f t="shared" ref="G33" si="7">$G$27</f>
        <v>846.579651</v>
      </c>
      <c r="H33" s="30">
        <v>0.36</v>
      </c>
      <c r="I33" s="9">
        <f>ROUND(G33*H33/100,2)</f>
        <v>3.05</v>
      </c>
      <c r="J33" s="9" t="s">
        <v>0</v>
      </c>
      <c r="K33" s="9" t="s">
        <v>0</v>
      </c>
      <c r="L33" s="9" t="s">
        <v>0</v>
      </c>
      <c r="M33" s="9" t="s">
        <v>8</v>
      </c>
    </row>
    <row r="34" spans="1:13">
      <c r="A34" s="4" t="s">
        <v>96</v>
      </c>
      <c r="B34" s="4" t="s">
        <v>236</v>
      </c>
      <c r="C34" s="4" t="s">
        <v>0</v>
      </c>
      <c r="D34" s="6" t="s">
        <v>222</v>
      </c>
      <c r="E34" s="6" t="s">
        <v>0</v>
      </c>
      <c r="F34" s="102" t="s">
        <v>8</v>
      </c>
      <c r="G34" s="4"/>
      <c r="H34" s="4" t="s">
        <v>8</v>
      </c>
      <c r="I34" s="9" t="s">
        <v>0</v>
      </c>
      <c r="J34" s="9" t="s">
        <v>0</v>
      </c>
      <c r="K34" s="9" t="s">
        <v>0</v>
      </c>
      <c r="L34" s="9" t="s">
        <v>0</v>
      </c>
      <c r="M34" s="9" t="s">
        <v>8</v>
      </c>
    </row>
    <row r="35" ht="22.8" customHeight="1" spans="1:13">
      <c r="A35" s="4" t="s">
        <v>98</v>
      </c>
      <c r="B35" s="4" t="s">
        <v>237</v>
      </c>
      <c r="C35" s="4" t="s">
        <v>0</v>
      </c>
      <c r="D35" s="6" t="s">
        <v>224</v>
      </c>
      <c r="E35" s="6" t="s">
        <v>0</v>
      </c>
      <c r="F35" s="102" t="s">
        <v>8</v>
      </c>
      <c r="G35" s="4"/>
      <c r="H35" s="4" t="s">
        <v>8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8</v>
      </c>
    </row>
    <row r="36" spans="1:13">
      <c r="A36" s="4" t="s">
        <v>100</v>
      </c>
      <c r="B36" s="4" t="s">
        <v>238</v>
      </c>
      <c r="C36" s="4" t="s">
        <v>0</v>
      </c>
      <c r="D36" s="6" t="s">
        <v>226</v>
      </c>
      <c r="E36" s="6" t="s">
        <v>0</v>
      </c>
      <c r="F36" s="102" t="s">
        <v>8</v>
      </c>
      <c r="G36" s="4"/>
      <c r="H36" s="4" t="s">
        <v>8</v>
      </c>
      <c r="I36" s="9" t="s">
        <v>0</v>
      </c>
      <c r="J36" s="9" t="s">
        <v>0</v>
      </c>
      <c r="K36" s="9" t="s">
        <v>0</v>
      </c>
      <c r="L36" s="9" t="s">
        <v>0</v>
      </c>
      <c r="M36" s="9" t="s">
        <v>8</v>
      </c>
    </row>
    <row r="37" ht="47.4" customHeight="1" spans="1:13">
      <c r="A37" s="4" t="s">
        <v>102</v>
      </c>
      <c r="B37" s="4" t="s">
        <v>239</v>
      </c>
      <c r="C37" s="4" t="s">
        <v>0</v>
      </c>
      <c r="D37" s="6" t="s">
        <v>228</v>
      </c>
      <c r="E37" s="6" t="s">
        <v>0</v>
      </c>
      <c r="F37" s="102" t="s">
        <v>229</v>
      </c>
      <c r="G37" s="29">
        <f t="shared" ref="G37" si="8">$G$27</f>
        <v>846.579651</v>
      </c>
      <c r="H37" s="30">
        <v>0.09</v>
      </c>
      <c r="I37" s="9">
        <f>ROUND(G37*H37/100,2)</f>
        <v>0.76</v>
      </c>
      <c r="J37" s="35"/>
      <c r="K37" s="36"/>
      <c r="L37" s="9"/>
      <c r="M37" s="9"/>
    </row>
    <row r="38" spans="1:13">
      <c r="A38" s="31" t="s">
        <v>90</v>
      </c>
      <c r="B38" s="31"/>
      <c r="C38" s="31"/>
      <c r="D38" s="31"/>
      <c r="E38" s="31"/>
      <c r="F38" s="32"/>
      <c r="G38" s="32"/>
      <c r="H38" s="32"/>
      <c r="I38" s="37">
        <f>SUM(I27:I37)</f>
        <v>66.04</v>
      </c>
      <c r="J38" s="38"/>
      <c r="K38" s="39"/>
      <c r="L38" s="32"/>
      <c r="M38" s="32"/>
    </row>
    <row r="39" ht="36" customHeight="1" spans="1:13">
      <c r="A39" s="17" t="s">
        <v>230</v>
      </c>
      <c r="B39" s="17" t="s">
        <v>0</v>
      </c>
      <c r="C39" s="17" t="s">
        <v>0</v>
      </c>
      <c r="D39" s="17" t="s">
        <v>0</v>
      </c>
      <c r="E39" s="17" t="s">
        <v>0</v>
      </c>
      <c r="F39" s="17" t="s">
        <v>0</v>
      </c>
      <c r="G39" s="17"/>
      <c r="H39" s="17" t="s">
        <v>0</v>
      </c>
      <c r="I39" s="17" t="s">
        <v>0</v>
      </c>
      <c r="J39" s="17" t="s">
        <v>0</v>
      </c>
      <c r="K39" s="17" t="s">
        <v>0</v>
      </c>
      <c r="L39" s="17" t="s">
        <v>0</v>
      </c>
      <c r="M39" s="17" t="s">
        <v>0</v>
      </c>
    </row>
    <row r="40" ht="21" customHeight="1"/>
    <row r="41" ht="29.4" customHeight="1" spans="1:13">
      <c r="A41" s="14" t="s">
        <v>191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3" t="s">
        <v>240</v>
      </c>
      <c r="M41" s="13"/>
    </row>
    <row r="42" customHeight="1" spans="1:13">
      <c r="A42" s="28" t="s">
        <v>22</v>
      </c>
      <c r="B42" s="28" t="s">
        <v>0</v>
      </c>
      <c r="C42" s="17" t="s">
        <v>80</v>
      </c>
      <c r="D42" s="17" t="s">
        <v>0</v>
      </c>
      <c r="E42" s="17" t="s">
        <v>0</v>
      </c>
      <c r="F42" s="17" t="s">
        <v>0</v>
      </c>
      <c r="G42" s="17"/>
      <c r="H42" s="17" t="s">
        <v>0</v>
      </c>
      <c r="I42" s="17" t="s">
        <v>0</v>
      </c>
      <c r="J42" s="17" t="s">
        <v>0</v>
      </c>
      <c r="K42" s="34" t="s">
        <v>81</v>
      </c>
      <c r="L42" s="34" t="s">
        <v>0</v>
      </c>
      <c r="M42" s="33"/>
    </row>
    <row r="43" customHeight="1" spans="1:13">
      <c r="A43" s="28" t="s">
        <v>82</v>
      </c>
      <c r="B43" s="28" t="s">
        <v>0</v>
      </c>
      <c r="C43" s="34" t="s">
        <v>241</v>
      </c>
      <c r="D43" s="34" t="s">
        <v>0</v>
      </c>
      <c r="E43" s="34" t="s">
        <v>0</v>
      </c>
      <c r="F43" s="34" t="s">
        <v>0</v>
      </c>
      <c r="G43" s="34"/>
      <c r="H43" s="34" t="s">
        <v>0</v>
      </c>
      <c r="I43" s="34" t="s">
        <v>0</v>
      </c>
      <c r="J43" s="34" t="s">
        <v>0</v>
      </c>
      <c r="K43" s="34" t="str">
        <f>"工程数量："&amp;'[1]附表C-6营造林工程投资概算'!$D$10</f>
        <v>工程数量：0.45</v>
      </c>
      <c r="L43" s="34" t="s">
        <v>0</v>
      </c>
      <c r="M43" s="15"/>
    </row>
    <row r="44" customHeight="1" spans="1:13">
      <c r="A44" s="28" t="s">
        <v>84</v>
      </c>
      <c r="B44" s="28" t="s">
        <v>0</v>
      </c>
      <c r="C44" s="34" t="s">
        <v>242</v>
      </c>
      <c r="D44" s="34" t="s">
        <v>0</v>
      </c>
      <c r="E44" s="34" t="s">
        <v>0</v>
      </c>
      <c r="F44" s="34" t="s">
        <v>0</v>
      </c>
      <c r="G44" s="34"/>
      <c r="H44" s="34" t="s">
        <v>0</v>
      </c>
      <c r="I44" s="34" t="s">
        <v>0</v>
      </c>
      <c r="J44" s="34" t="s">
        <v>0</v>
      </c>
      <c r="K44" s="34"/>
      <c r="L44" s="34"/>
      <c r="M44" s="15"/>
    </row>
    <row r="45" ht="36" customHeight="1" spans="1:13">
      <c r="A45" s="4" t="s">
        <v>193</v>
      </c>
      <c r="B45" s="4" t="s">
        <v>55</v>
      </c>
      <c r="C45" s="4" t="s">
        <v>0</v>
      </c>
      <c r="D45" s="4" t="s">
        <v>56</v>
      </c>
      <c r="E45" s="4" t="s">
        <v>0</v>
      </c>
      <c r="F45" s="4" t="s">
        <v>194</v>
      </c>
      <c r="G45" s="4" t="s">
        <v>195</v>
      </c>
      <c r="H45" s="4" t="s">
        <v>196</v>
      </c>
      <c r="I45" s="4" t="s">
        <v>197</v>
      </c>
      <c r="J45" s="4" t="s">
        <v>198</v>
      </c>
      <c r="K45" s="4" t="s">
        <v>0</v>
      </c>
      <c r="L45" s="4" t="s">
        <v>199</v>
      </c>
      <c r="M45" s="4" t="s">
        <v>35</v>
      </c>
    </row>
    <row r="46" spans="1:13">
      <c r="A46" s="4" t="s">
        <v>68</v>
      </c>
      <c r="B46" s="4" t="s">
        <v>243</v>
      </c>
      <c r="C46" s="4" t="s">
        <v>0</v>
      </c>
      <c r="D46" s="6" t="s">
        <v>201</v>
      </c>
      <c r="E46" s="6" t="s">
        <v>0</v>
      </c>
      <c r="F46" s="4" t="s">
        <v>8</v>
      </c>
      <c r="G46" s="4"/>
      <c r="H46" s="4" t="s">
        <v>8</v>
      </c>
      <c r="I46" s="9">
        <f>SUM(I47:I50)</f>
        <v>0.17</v>
      </c>
      <c r="J46" s="9" t="s">
        <v>0</v>
      </c>
      <c r="K46" s="9" t="s">
        <v>0</v>
      </c>
      <c r="L46" s="9" t="s">
        <v>0</v>
      </c>
      <c r="M46" s="9" t="s">
        <v>8</v>
      </c>
    </row>
    <row r="47" ht="40.05" customHeight="1" spans="1:13">
      <c r="A47" s="4" t="s">
        <v>202</v>
      </c>
      <c r="B47" s="4" t="s">
        <v>203</v>
      </c>
      <c r="C47" s="4" t="s">
        <v>0</v>
      </c>
      <c r="D47" s="6" t="s">
        <v>204</v>
      </c>
      <c r="E47" s="6" t="s">
        <v>0</v>
      </c>
      <c r="F47" s="4" t="s">
        <v>205</v>
      </c>
      <c r="G47" s="29">
        <f>'D3-3 分部分项工程量清单综合单价计算表(分页不带材料)~1'!$F$55*0.3</f>
        <v>2.320296</v>
      </c>
      <c r="H47" s="4">
        <v>0.55</v>
      </c>
      <c r="I47" s="9">
        <f>ROUND(G47*H47/100,2)</f>
        <v>0.01</v>
      </c>
      <c r="J47" s="9" t="s">
        <v>0</v>
      </c>
      <c r="K47" s="9" t="s">
        <v>0</v>
      </c>
      <c r="L47" s="9" t="s">
        <v>0</v>
      </c>
      <c r="M47" s="9" t="s">
        <v>8</v>
      </c>
    </row>
    <row r="48" ht="40.05" customHeight="1" spans="1:13">
      <c r="A48" s="4" t="s">
        <v>206</v>
      </c>
      <c r="B48" s="4" t="s">
        <v>207</v>
      </c>
      <c r="C48" s="4" t="s">
        <v>0</v>
      </c>
      <c r="D48" s="6" t="s">
        <v>208</v>
      </c>
      <c r="E48" s="6" t="s">
        <v>0</v>
      </c>
      <c r="F48" s="4" t="s">
        <v>205</v>
      </c>
      <c r="G48" s="29">
        <f>$G$47</f>
        <v>2.320296</v>
      </c>
      <c r="H48" s="4">
        <v>1.35</v>
      </c>
      <c r="I48" s="9">
        <f>ROUND(G48*H48/100,2)</f>
        <v>0.03</v>
      </c>
      <c r="J48" s="9" t="s">
        <v>0</v>
      </c>
      <c r="K48" s="9" t="s">
        <v>0</v>
      </c>
      <c r="L48" s="9" t="s">
        <v>0</v>
      </c>
      <c r="M48" s="9" t="s">
        <v>8</v>
      </c>
    </row>
    <row r="49" ht="40.05" customHeight="1" spans="1:13">
      <c r="A49" s="4" t="s">
        <v>209</v>
      </c>
      <c r="B49" s="4" t="s">
        <v>210</v>
      </c>
      <c r="C49" s="4" t="s">
        <v>0</v>
      </c>
      <c r="D49" s="6" t="s">
        <v>211</v>
      </c>
      <c r="E49" s="6" t="s">
        <v>0</v>
      </c>
      <c r="F49" s="4" t="s">
        <v>205</v>
      </c>
      <c r="G49" s="29">
        <f t="shared" ref="G49:G50" si="9">$G$47</f>
        <v>2.320296</v>
      </c>
      <c r="H49" s="4">
        <v>2.1</v>
      </c>
      <c r="I49" s="9">
        <f>ROUND(G49*H49/100,2)</f>
        <v>0.05</v>
      </c>
      <c r="J49" s="9" t="s">
        <v>0</v>
      </c>
      <c r="K49" s="9" t="s">
        <v>0</v>
      </c>
      <c r="L49" s="9" t="s">
        <v>0</v>
      </c>
      <c r="M49" s="9" t="s">
        <v>8</v>
      </c>
    </row>
    <row r="50" ht="40.05" customHeight="1" spans="1:13">
      <c r="A50" s="4" t="s">
        <v>212</v>
      </c>
      <c r="B50" s="4" t="s">
        <v>213</v>
      </c>
      <c r="C50" s="4" t="s">
        <v>0</v>
      </c>
      <c r="D50" s="6" t="s">
        <v>214</v>
      </c>
      <c r="E50" s="6" t="s">
        <v>0</v>
      </c>
      <c r="F50" s="4" t="s">
        <v>205</v>
      </c>
      <c r="G50" s="29">
        <f t="shared" si="9"/>
        <v>2.320296</v>
      </c>
      <c r="H50" s="4">
        <v>3.35</v>
      </c>
      <c r="I50" s="9">
        <f>ROUND(G50*H50/100,2)</f>
        <v>0.08</v>
      </c>
      <c r="J50" s="9" t="s">
        <v>0</v>
      </c>
      <c r="K50" s="9" t="s">
        <v>0</v>
      </c>
      <c r="L50" s="9" t="s">
        <v>0</v>
      </c>
      <c r="M50" s="9" t="s">
        <v>8</v>
      </c>
    </row>
    <row r="51" spans="1:13">
      <c r="A51" s="4" t="s">
        <v>71</v>
      </c>
      <c r="B51" s="4" t="s">
        <v>244</v>
      </c>
      <c r="C51" s="4" t="s">
        <v>0</v>
      </c>
      <c r="D51" s="6" t="s">
        <v>216</v>
      </c>
      <c r="E51" s="6" t="s">
        <v>0</v>
      </c>
      <c r="F51" s="4" t="s">
        <v>8</v>
      </c>
      <c r="G51" s="4"/>
      <c r="H51" s="4" t="s">
        <v>8</v>
      </c>
      <c r="I51" s="9"/>
      <c r="J51" s="9" t="s">
        <v>0</v>
      </c>
      <c r="K51" s="9" t="s">
        <v>0</v>
      </c>
      <c r="L51" s="9" t="s">
        <v>0</v>
      </c>
      <c r="M51" s="9" t="s">
        <v>8</v>
      </c>
    </row>
    <row r="52" spans="1:13">
      <c r="A52" s="4" t="s">
        <v>73</v>
      </c>
      <c r="B52" s="4" t="s">
        <v>245</v>
      </c>
      <c r="C52" s="4" t="s">
        <v>0</v>
      </c>
      <c r="D52" s="6" t="s">
        <v>218</v>
      </c>
      <c r="E52" s="6" t="s">
        <v>0</v>
      </c>
      <c r="F52" s="4" t="s">
        <v>8</v>
      </c>
      <c r="G52" s="4"/>
      <c r="H52" s="4" t="s">
        <v>8</v>
      </c>
      <c r="I52" s="9"/>
      <c r="J52" s="9" t="s">
        <v>0</v>
      </c>
      <c r="K52" s="9" t="s">
        <v>0</v>
      </c>
      <c r="L52" s="9" t="s">
        <v>0</v>
      </c>
      <c r="M52" s="9" t="s">
        <v>8</v>
      </c>
    </row>
    <row r="53" ht="33.6" customHeight="1" spans="1:13">
      <c r="A53" s="4" t="s">
        <v>94</v>
      </c>
      <c r="B53" s="4" t="s">
        <v>246</v>
      </c>
      <c r="C53" s="4" t="s">
        <v>0</v>
      </c>
      <c r="D53" s="6" t="s">
        <v>220</v>
      </c>
      <c r="E53" s="6" t="s">
        <v>0</v>
      </c>
      <c r="F53" s="4" t="s">
        <v>205</v>
      </c>
      <c r="G53" s="29">
        <f t="shared" ref="G53" si="10">$G$47</f>
        <v>2.320296</v>
      </c>
      <c r="H53" s="30">
        <v>0.36</v>
      </c>
      <c r="I53" s="9">
        <f>ROUND(G53*H53/100,2)</f>
        <v>0.01</v>
      </c>
      <c r="J53" s="9" t="s">
        <v>0</v>
      </c>
      <c r="K53" s="9" t="s">
        <v>0</v>
      </c>
      <c r="L53" s="9" t="s">
        <v>0</v>
      </c>
      <c r="M53" s="9" t="s">
        <v>8</v>
      </c>
    </row>
    <row r="54" spans="1:13">
      <c r="A54" s="4" t="s">
        <v>96</v>
      </c>
      <c r="B54" s="4" t="s">
        <v>247</v>
      </c>
      <c r="C54" s="4" t="s">
        <v>0</v>
      </c>
      <c r="D54" s="6" t="s">
        <v>222</v>
      </c>
      <c r="E54" s="6" t="s">
        <v>0</v>
      </c>
      <c r="F54" s="4" t="s">
        <v>8</v>
      </c>
      <c r="G54" s="4"/>
      <c r="H54" s="4" t="s">
        <v>8</v>
      </c>
      <c r="I54" s="9" t="s">
        <v>0</v>
      </c>
      <c r="J54" s="9" t="s">
        <v>0</v>
      </c>
      <c r="K54" s="9" t="s">
        <v>0</v>
      </c>
      <c r="L54" s="9" t="s">
        <v>0</v>
      </c>
      <c r="M54" s="9" t="s">
        <v>8</v>
      </c>
    </row>
    <row r="55" ht="27.6" customHeight="1" spans="1:13">
      <c r="A55" s="4" t="s">
        <v>98</v>
      </c>
      <c r="B55" s="4" t="s">
        <v>248</v>
      </c>
      <c r="C55" s="4" t="s">
        <v>0</v>
      </c>
      <c r="D55" s="6" t="s">
        <v>224</v>
      </c>
      <c r="E55" s="6" t="s">
        <v>0</v>
      </c>
      <c r="F55" s="4" t="s">
        <v>8</v>
      </c>
      <c r="G55" s="4"/>
      <c r="H55" s="4" t="s">
        <v>8</v>
      </c>
      <c r="I55" s="9" t="s">
        <v>0</v>
      </c>
      <c r="J55" s="9" t="s">
        <v>0</v>
      </c>
      <c r="K55" s="9" t="s">
        <v>0</v>
      </c>
      <c r="L55" s="9" t="s">
        <v>0</v>
      </c>
      <c r="M55" s="9" t="s">
        <v>8</v>
      </c>
    </row>
    <row r="56" spans="1:13">
      <c r="A56" s="4" t="s">
        <v>100</v>
      </c>
      <c r="B56" s="4" t="s">
        <v>249</v>
      </c>
      <c r="C56" s="4" t="s">
        <v>0</v>
      </c>
      <c r="D56" s="6" t="s">
        <v>226</v>
      </c>
      <c r="E56" s="6" t="s">
        <v>0</v>
      </c>
      <c r="F56" s="4" t="s">
        <v>8</v>
      </c>
      <c r="G56" s="4"/>
      <c r="H56" s="4" t="s">
        <v>8</v>
      </c>
      <c r="I56" s="9" t="s">
        <v>0</v>
      </c>
      <c r="J56" s="9" t="s">
        <v>0</v>
      </c>
      <c r="K56" s="9" t="s">
        <v>0</v>
      </c>
      <c r="L56" s="9" t="s">
        <v>0</v>
      </c>
      <c r="M56" s="9" t="s">
        <v>8</v>
      </c>
    </row>
    <row r="57" ht="46.2" customHeight="1" spans="1:13">
      <c r="A57" s="4" t="s">
        <v>102</v>
      </c>
      <c r="B57" s="4" t="s">
        <v>250</v>
      </c>
      <c r="C57" s="4" t="s">
        <v>0</v>
      </c>
      <c r="D57" s="6" t="s">
        <v>228</v>
      </c>
      <c r="E57" s="6" t="s">
        <v>0</v>
      </c>
      <c r="F57" s="4" t="s">
        <v>229</v>
      </c>
      <c r="G57" s="29">
        <f t="shared" ref="G57" si="11">$G$47</f>
        <v>2.320296</v>
      </c>
      <c r="H57" s="30">
        <v>0.09</v>
      </c>
      <c r="I57" s="9">
        <f>ROUND(G57*H57/100,2)</f>
        <v>0</v>
      </c>
      <c r="J57" s="35"/>
      <c r="K57" s="36"/>
      <c r="L57" s="9"/>
      <c r="M57" s="9"/>
    </row>
    <row r="58" spans="1:13">
      <c r="A58" s="31" t="s">
        <v>90</v>
      </c>
      <c r="B58" s="31"/>
      <c r="C58" s="31"/>
      <c r="D58" s="31"/>
      <c r="E58" s="31"/>
      <c r="F58" s="32"/>
      <c r="G58" s="32"/>
      <c r="H58" s="32"/>
      <c r="I58" s="37">
        <f>SUM(I47:I57)</f>
        <v>0.18</v>
      </c>
      <c r="J58" s="38"/>
      <c r="K58" s="39"/>
      <c r="L58" s="32"/>
      <c r="M58" s="32"/>
    </row>
    <row r="59" ht="43.8" customHeight="1" spans="1:13">
      <c r="A59" s="17" t="s">
        <v>251</v>
      </c>
      <c r="B59" s="17" t="s">
        <v>0</v>
      </c>
      <c r="C59" s="17" t="s">
        <v>0</v>
      </c>
      <c r="D59" s="17" t="s">
        <v>0</v>
      </c>
      <c r="E59" s="17" t="s">
        <v>0</v>
      </c>
      <c r="F59" s="17" t="s">
        <v>0</v>
      </c>
      <c r="G59" s="17"/>
      <c r="H59" s="17" t="s">
        <v>0</v>
      </c>
      <c r="I59" s="17" t="s">
        <v>0</v>
      </c>
      <c r="J59" s="17" t="s">
        <v>0</v>
      </c>
      <c r="K59" s="17" t="s">
        <v>0</v>
      </c>
      <c r="L59" s="17" t="s">
        <v>0</v>
      </c>
      <c r="M59" s="17" t="s">
        <v>0</v>
      </c>
    </row>
  </sheetData>
  <mergeCells count="156">
    <mergeCell ref="A1:K1"/>
    <mergeCell ref="L1:M1"/>
    <mergeCell ref="A2:B2"/>
    <mergeCell ref="C2:J2"/>
    <mergeCell ref="K2:L2"/>
    <mergeCell ref="A3:B3"/>
    <mergeCell ref="C3:J3"/>
    <mergeCell ref="K3:L3"/>
    <mergeCell ref="A4:B4"/>
    <mergeCell ref="C4:J4"/>
    <mergeCell ref="K4:L4"/>
    <mergeCell ref="B5:C5"/>
    <mergeCell ref="D5:E5"/>
    <mergeCell ref="J5:K5"/>
    <mergeCell ref="B6:C6"/>
    <mergeCell ref="D6:E6"/>
    <mergeCell ref="J6:K6"/>
    <mergeCell ref="B7:C7"/>
    <mergeCell ref="D7:E7"/>
    <mergeCell ref="J7:K7"/>
    <mergeCell ref="B8:C8"/>
    <mergeCell ref="D8:E8"/>
    <mergeCell ref="J8:K8"/>
    <mergeCell ref="B9:C9"/>
    <mergeCell ref="D9:E9"/>
    <mergeCell ref="J9:K9"/>
    <mergeCell ref="B10:C10"/>
    <mergeCell ref="D10:E10"/>
    <mergeCell ref="J10:K10"/>
    <mergeCell ref="B11:C11"/>
    <mergeCell ref="D11:E11"/>
    <mergeCell ref="J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A18:E18"/>
    <mergeCell ref="J18:K18"/>
    <mergeCell ref="A19:M19"/>
    <mergeCell ref="A21:K21"/>
    <mergeCell ref="L21:M21"/>
    <mergeCell ref="A22:B22"/>
    <mergeCell ref="C22:J22"/>
    <mergeCell ref="K22:L22"/>
    <mergeCell ref="A23:B23"/>
    <mergeCell ref="C23:J23"/>
    <mergeCell ref="K23:L23"/>
    <mergeCell ref="A24:B24"/>
    <mergeCell ref="C24:J24"/>
    <mergeCell ref="K24:L24"/>
    <mergeCell ref="B25:C25"/>
    <mergeCell ref="D25:E25"/>
    <mergeCell ref="J25:K25"/>
    <mergeCell ref="B26:C26"/>
    <mergeCell ref="D26:E26"/>
    <mergeCell ref="J26:K26"/>
    <mergeCell ref="B27:C27"/>
    <mergeCell ref="D27:E27"/>
    <mergeCell ref="J27:K27"/>
    <mergeCell ref="B28:C28"/>
    <mergeCell ref="D28:E28"/>
    <mergeCell ref="J28:K28"/>
    <mergeCell ref="B29:C29"/>
    <mergeCell ref="D29:E29"/>
    <mergeCell ref="J29:K29"/>
    <mergeCell ref="B30:C30"/>
    <mergeCell ref="D30:E30"/>
    <mergeCell ref="J30:K30"/>
    <mergeCell ref="B31:C31"/>
    <mergeCell ref="D31:E31"/>
    <mergeCell ref="J31:K31"/>
    <mergeCell ref="B32:C32"/>
    <mergeCell ref="D32:E32"/>
    <mergeCell ref="J32:K32"/>
    <mergeCell ref="B33:C33"/>
    <mergeCell ref="D33:E33"/>
    <mergeCell ref="J33:K33"/>
    <mergeCell ref="B34:C34"/>
    <mergeCell ref="D34:E34"/>
    <mergeCell ref="J34:K34"/>
    <mergeCell ref="B35:C35"/>
    <mergeCell ref="D35:E35"/>
    <mergeCell ref="J35:K35"/>
    <mergeCell ref="B36:C36"/>
    <mergeCell ref="D36:E36"/>
    <mergeCell ref="J36:K36"/>
    <mergeCell ref="B37:C37"/>
    <mergeCell ref="D37:E37"/>
    <mergeCell ref="A38:E38"/>
    <mergeCell ref="J38:K38"/>
    <mergeCell ref="A39:M39"/>
    <mergeCell ref="A41:K41"/>
    <mergeCell ref="L41:M41"/>
    <mergeCell ref="A42:B42"/>
    <mergeCell ref="C42:J42"/>
    <mergeCell ref="K42:L42"/>
    <mergeCell ref="A43:B43"/>
    <mergeCell ref="C43:J43"/>
    <mergeCell ref="K43:L43"/>
    <mergeCell ref="A44:B44"/>
    <mergeCell ref="C44:J44"/>
    <mergeCell ref="K44:L44"/>
    <mergeCell ref="B45:C45"/>
    <mergeCell ref="D45:E45"/>
    <mergeCell ref="J45:K45"/>
    <mergeCell ref="B46:C46"/>
    <mergeCell ref="D46:E46"/>
    <mergeCell ref="J46:K46"/>
    <mergeCell ref="B47:C47"/>
    <mergeCell ref="D47:E47"/>
    <mergeCell ref="J47:K47"/>
    <mergeCell ref="B48:C48"/>
    <mergeCell ref="D48:E48"/>
    <mergeCell ref="J48:K48"/>
    <mergeCell ref="B49:C49"/>
    <mergeCell ref="D49:E49"/>
    <mergeCell ref="J49:K49"/>
    <mergeCell ref="B50:C50"/>
    <mergeCell ref="D50:E50"/>
    <mergeCell ref="J50:K50"/>
    <mergeCell ref="B51:C51"/>
    <mergeCell ref="D51:E51"/>
    <mergeCell ref="J51:K51"/>
    <mergeCell ref="B52:C52"/>
    <mergeCell ref="D52:E52"/>
    <mergeCell ref="J52:K52"/>
    <mergeCell ref="B53:C53"/>
    <mergeCell ref="D53:E53"/>
    <mergeCell ref="J53:K53"/>
    <mergeCell ref="B54:C54"/>
    <mergeCell ref="D54:E54"/>
    <mergeCell ref="J54:K54"/>
    <mergeCell ref="B55:C55"/>
    <mergeCell ref="D55:E55"/>
    <mergeCell ref="J55:K55"/>
    <mergeCell ref="B56:C56"/>
    <mergeCell ref="D56:E56"/>
    <mergeCell ref="J56:K56"/>
    <mergeCell ref="B57:C57"/>
    <mergeCell ref="D57:E57"/>
    <mergeCell ref="A58:E58"/>
    <mergeCell ref="J58:K58"/>
    <mergeCell ref="A59:M5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24"/>
  <sheetViews>
    <sheetView showZeros="0" workbookViewId="0">
      <selection activeCell="D24" sqref="D24"/>
    </sheetView>
  </sheetViews>
  <sheetFormatPr defaultColWidth="8.88888888888889" defaultRowHeight="14.4" outlineLevelCol="7"/>
  <cols>
    <col min="1" max="1" width="8.88888888888889" style="1"/>
    <col min="2" max="2" width="27.6666666666667" style="1" customWidth="1"/>
    <col min="3" max="3" width="11.8888888888889" style="1" customWidth="1"/>
    <col min="4" max="4" width="13.6666666666667" style="1" customWidth="1"/>
    <col min="5" max="5" width="10.4444444444444" style="1" customWidth="1"/>
    <col min="6" max="6" width="11.212962962963" style="1" customWidth="1"/>
    <col min="7" max="16384" width="8.88888888888889" style="1"/>
  </cols>
  <sheetData>
    <row r="1" ht="30" customHeight="1" spans="1:6">
      <c r="A1" s="14" t="s">
        <v>252</v>
      </c>
      <c r="B1" s="14" t="s">
        <v>0</v>
      </c>
      <c r="C1" s="14" t="s">
        <v>0</v>
      </c>
      <c r="D1" s="14" t="s">
        <v>0</v>
      </c>
      <c r="E1" s="14" t="s">
        <v>0</v>
      </c>
      <c r="F1" s="14" t="s">
        <v>0</v>
      </c>
    </row>
    <row r="2" ht="30" customHeight="1" spans="1:6">
      <c r="A2" s="23"/>
      <c r="B2" s="23"/>
      <c r="C2" s="99"/>
      <c r="D2" s="99"/>
      <c r="E2" s="100" t="s">
        <v>253</v>
      </c>
      <c r="F2" s="100"/>
    </row>
    <row r="3" ht="30" customHeight="1" spans="1:8">
      <c r="A3" s="16" t="s">
        <v>22</v>
      </c>
      <c r="B3" s="18" t="s">
        <v>80</v>
      </c>
      <c r="C3" s="18"/>
      <c r="D3" s="18"/>
      <c r="E3" s="101" t="str">
        <f>"工程数量："&amp;'[1]附表A-3建设任务按行政区划统计表'!$E$6&amp;"亩"</f>
        <v>工程数量：76.66亩</v>
      </c>
      <c r="F3" s="101"/>
      <c r="G3" s="16" t="s">
        <v>0</v>
      </c>
      <c r="H3" s="33"/>
    </row>
    <row r="4" ht="30" customHeight="1" spans="1:6">
      <c r="A4" s="4" t="s">
        <v>28</v>
      </c>
      <c r="B4" s="4" t="s">
        <v>254</v>
      </c>
      <c r="C4" s="4" t="s">
        <v>59</v>
      </c>
      <c r="D4" s="4" t="s">
        <v>255</v>
      </c>
      <c r="E4" s="4" t="s">
        <v>35</v>
      </c>
      <c r="F4" s="4" t="s">
        <v>0</v>
      </c>
    </row>
    <row r="5" ht="30" customHeight="1" spans="1:6">
      <c r="A5" s="4" t="s">
        <v>68</v>
      </c>
      <c r="B5" s="6" t="s">
        <v>256</v>
      </c>
      <c r="C5" s="9"/>
      <c r="D5" s="9" t="s">
        <v>0</v>
      </c>
      <c r="E5" s="4"/>
      <c r="F5" s="4"/>
    </row>
    <row r="6" ht="30" customHeight="1" spans="1:6">
      <c r="A6" s="4" t="s">
        <v>71</v>
      </c>
      <c r="B6" s="6" t="s">
        <v>257</v>
      </c>
      <c r="C6" s="9" t="s">
        <v>8</v>
      </c>
      <c r="D6" s="9" t="s">
        <v>0</v>
      </c>
      <c r="E6" s="4"/>
      <c r="F6" s="4"/>
    </row>
    <row r="7" ht="30" customHeight="1" spans="1:6">
      <c r="A7" s="4" t="s">
        <v>258</v>
      </c>
      <c r="B7" s="6" t="s">
        <v>259</v>
      </c>
      <c r="C7" s="4" t="s">
        <v>260</v>
      </c>
      <c r="D7" s="9" t="s">
        <v>0</v>
      </c>
      <c r="E7" s="4"/>
      <c r="F7" s="4"/>
    </row>
    <row r="8" ht="30" customHeight="1" spans="1:6">
      <c r="A8" s="4" t="s">
        <v>261</v>
      </c>
      <c r="B8" s="6" t="s">
        <v>262</v>
      </c>
      <c r="C8" s="9" t="s">
        <v>8</v>
      </c>
      <c r="D8" s="9" t="s">
        <v>0</v>
      </c>
      <c r="E8" s="4"/>
      <c r="F8" s="4"/>
    </row>
    <row r="9" ht="30" customHeight="1" spans="1:6">
      <c r="A9" s="4" t="s">
        <v>73</v>
      </c>
      <c r="B9" s="6" t="s">
        <v>263</v>
      </c>
      <c r="C9" s="9" t="s">
        <v>8</v>
      </c>
      <c r="D9" s="9" t="s">
        <v>0</v>
      </c>
      <c r="E9" s="4"/>
      <c r="F9" s="4"/>
    </row>
    <row r="10" ht="30" customHeight="1" spans="1:6">
      <c r="A10" s="4" t="s">
        <v>94</v>
      </c>
      <c r="B10" s="6" t="s">
        <v>264</v>
      </c>
      <c r="C10" s="9" t="s">
        <v>8</v>
      </c>
      <c r="D10" s="9" t="s">
        <v>0</v>
      </c>
      <c r="E10" s="4"/>
      <c r="F10" s="4"/>
    </row>
    <row r="11" ht="30" customHeight="1" spans="1:6">
      <c r="A11" s="4" t="s">
        <v>0</v>
      </c>
      <c r="B11" s="6" t="s">
        <v>0</v>
      </c>
      <c r="C11" s="9" t="s">
        <v>0</v>
      </c>
      <c r="D11" s="9" t="s">
        <v>0</v>
      </c>
      <c r="E11" s="4" t="s">
        <v>0</v>
      </c>
      <c r="F11" s="4" t="s">
        <v>0</v>
      </c>
    </row>
    <row r="12" ht="30" customHeight="1" spans="1:6">
      <c r="A12" s="4" t="s">
        <v>0</v>
      </c>
      <c r="B12" s="6" t="s">
        <v>0</v>
      </c>
      <c r="C12" s="9" t="s">
        <v>0</v>
      </c>
      <c r="D12" s="9" t="s">
        <v>0</v>
      </c>
      <c r="E12" s="4" t="s">
        <v>0</v>
      </c>
      <c r="F12" s="4" t="s">
        <v>0</v>
      </c>
    </row>
    <row r="13" ht="30" customHeight="1" spans="1:6">
      <c r="A13" s="4" t="s">
        <v>0</v>
      </c>
      <c r="B13" s="6" t="s">
        <v>0</v>
      </c>
      <c r="C13" s="9" t="s">
        <v>0</v>
      </c>
      <c r="D13" s="9" t="s">
        <v>0</v>
      </c>
      <c r="E13" s="4" t="s">
        <v>0</v>
      </c>
      <c r="F13" s="4" t="s">
        <v>0</v>
      </c>
    </row>
    <row r="14" ht="30" customHeight="1" spans="1:6">
      <c r="A14" s="4" t="s">
        <v>0</v>
      </c>
      <c r="B14" s="6" t="s">
        <v>0</v>
      </c>
      <c r="C14" s="9" t="s">
        <v>0</v>
      </c>
      <c r="D14" s="9" t="s">
        <v>0</v>
      </c>
      <c r="E14" s="4" t="s">
        <v>0</v>
      </c>
      <c r="F14" s="4" t="s">
        <v>0</v>
      </c>
    </row>
    <row r="15" ht="30" customHeight="1" spans="1:6">
      <c r="A15" s="4" t="s">
        <v>0</v>
      </c>
      <c r="B15" s="6" t="s">
        <v>0</v>
      </c>
      <c r="C15" s="9" t="s">
        <v>0</v>
      </c>
      <c r="D15" s="9" t="s">
        <v>0</v>
      </c>
      <c r="E15" s="4" t="s">
        <v>0</v>
      </c>
      <c r="F15" s="4" t="s">
        <v>0</v>
      </c>
    </row>
    <row r="16" ht="30" customHeight="1" spans="1:6">
      <c r="A16" s="4" t="s">
        <v>0</v>
      </c>
      <c r="B16" s="6" t="s">
        <v>0</v>
      </c>
      <c r="C16" s="9" t="s">
        <v>0</v>
      </c>
      <c r="D16" s="9" t="s">
        <v>0</v>
      </c>
      <c r="E16" s="4" t="s">
        <v>0</v>
      </c>
      <c r="F16" s="4" t="s">
        <v>0</v>
      </c>
    </row>
    <row r="17" ht="30" customHeight="1" spans="1:6">
      <c r="A17" s="4" t="s">
        <v>0</v>
      </c>
      <c r="B17" s="6" t="s">
        <v>0</v>
      </c>
      <c r="C17" s="9" t="s">
        <v>0</v>
      </c>
      <c r="D17" s="9" t="s">
        <v>0</v>
      </c>
      <c r="E17" s="4" t="s">
        <v>0</v>
      </c>
      <c r="F17" s="4" t="s">
        <v>0</v>
      </c>
    </row>
    <row r="18" ht="30" customHeight="1" spans="1:6">
      <c r="A18" s="4" t="s">
        <v>0</v>
      </c>
      <c r="B18" s="6" t="s">
        <v>0</v>
      </c>
      <c r="C18" s="9" t="s">
        <v>0</v>
      </c>
      <c r="D18" s="9" t="s">
        <v>0</v>
      </c>
      <c r="E18" s="4" t="s">
        <v>0</v>
      </c>
      <c r="F18" s="4" t="s">
        <v>0</v>
      </c>
    </row>
    <row r="19" ht="30" customHeight="1" spans="1:6">
      <c r="A19" s="4" t="s">
        <v>0</v>
      </c>
      <c r="B19" s="6" t="s">
        <v>0</v>
      </c>
      <c r="C19" s="9" t="s">
        <v>0</v>
      </c>
      <c r="D19" s="9" t="s">
        <v>0</v>
      </c>
      <c r="E19" s="4" t="s">
        <v>0</v>
      </c>
      <c r="F19" s="4" t="s">
        <v>0</v>
      </c>
    </row>
    <row r="20" ht="30" customHeight="1" spans="1:6">
      <c r="A20" s="4" t="s">
        <v>0</v>
      </c>
      <c r="B20" s="6" t="s">
        <v>0</v>
      </c>
      <c r="C20" s="9" t="s">
        <v>0</v>
      </c>
      <c r="D20" s="9" t="s">
        <v>0</v>
      </c>
      <c r="E20" s="4" t="s">
        <v>0</v>
      </c>
      <c r="F20" s="4" t="s">
        <v>0</v>
      </c>
    </row>
    <row r="21" ht="30" customHeight="1" spans="1:6">
      <c r="A21" s="4" t="s">
        <v>0</v>
      </c>
      <c r="B21" s="6" t="s">
        <v>0</v>
      </c>
      <c r="C21" s="9" t="s">
        <v>0</v>
      </c>
      <c r="D21" s="9" t="s">
        <v>0</v>
      </c>
      <c r="E21" s="4" t="s">
        <v>0</v>
      </c>
      <c r="F21" s="4" t="s">
        <v>0</v>
      </c>
    </row>
    <row r="22" ht="30" customHeight="1" spans="1:6">
      <c r="A22" s="4" t="s">
        <v>0</v>
      </c>
      <c r="B22" s="6" t="s">
        <v>0</v>
      </c>
      <c r="C22" s="9" t="s">
        <v>0</v>
      </c>
      <c r="D22" s="9" t="s">
        <v>0</v>
      </c>
      <c r="E22" s="4" t="s">
        <v>0</v>
      </c>
      <c r="F22" s="4" t="s">
        <v>0</v>
      </c>
    </row>
    <row r="23" ht="30" customHeight="1" spans="1:6">
      <c r="A23" s="4" t="s">
        <v>0</v>
      </c>
      <c r="B23" s="6" t="s">
        <v>0</v>
      </c>
      <c r="C23" s="9" t="s">
        <v>0</v>
      </c>
      <c r="D23" s="9" t="s">
        <v>0</v>
      </c>
      <c r="E23" s="4" t="s">
        <v>0</v>
      </c>
      <c r="F23" s="4" t="s">
        <v>0</v>
      </c>
    </row>
    <row r="24" ht="30" customHeight="1" spans="1:6">
      <c r="A24" s="4" t="s">
        <v>76</v>
      </c>
      <c r="B24" s="4" t="s">
        <v>0</v>
      </c>
      <c r="C24" s="9">
        <f>SUM(C5:C23)</f>
        <v>0</v>
      </c>
      <c r="D24" s="4" t="s">
        <v>0</v>
      </c>
      <c r="E24" s="4" t="s">
        <v>260</v>
      </c>
      <c r="F24" s="4" t="s">
        <v>0</v>
      </c>
    </row>
  </sheetData>
  <mergeCells count="26">
    <mergeCell ref="A1:F1"/>
    <mergeCell ref="E2:F2"/>
    <mergeCell ref="B3:D3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A24:B24"/>
    <mergeCell ref="E24:F2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86"/>
  <sheetViews>
    <sheetView showZeros="0" topLeftCell="A85" workbookViewId="0">
      <selection activeCell="G66" sqref="G66"/>
    </sheetView>
  </sheetViews>
  <sheetFormatPr defaultColWidth="8.88888888888889" defaultRowHeight="28.05" customHeight="1" outlineLevelCol="4"/>
  <cols>
    <col min="1" max="1" width="9.78703703703704" style="1" customWidth="1"/>
    <col min="2" max="4" width="19.212962962963" style="1" customWidth="1"/>
    <col min="5" max="5" width="16.212962962963" style="1" customWidth="1"/>
    <col min="6" max="16384" width="8.88888888888889" style="1"/>
  </cols>
  <sheetData>
    <row r="1" customHeight="1" spans="1:5">
      <c r="A1" s="22" t="s">
        <v>265</v>
      </c>
      <c r="B1" s="22" t="s">
        <v>0</v>
      </c>
      <c r="C1" s="22" t="s">
        <v>0</v>
      </c>
      <c r="D1" s="22" t="s">
        <v>0</v>
      </c>
      <c r="E1" s="22" t="s">
        <v>0</v>
      </c>
    </row>
    <row r="2" customHeight="1" spans="1:5">
      <c r="A2" s="23"/>
      <c r="B2" s="23"/>
      <c r="C2" s="23"/>
      <c r="D2" s="23"/>
      <c r="E2" s="15" t="s">
        <v>266</v>
      </c>
    </row>
    <row r="3" customHeight="1" spans="1:5">
      <c r="A3" s="16" t="s">
        <v>22</v>
      </c>
      <c r="B3" s="17" t="s">
        <v>80</v>
      </c>
      <c r="C3" s="17"/>
      <c r="D3" s="17"/>
      <c r="E3" s="16" t="s">
        <v>81</v>
      </c>
    </row>
    <row r="4" customHeight="1" spans="1:5">
      <c r="A4" s="16" t="s">
        <v>82</v>
      </c>
      <c r="B4" s="17" t="s">
        <v>133</v>
      </c>
      <c r="C4" s="17"/>
      <c r="D4" s="17"/>
      <c r="E4" s="98" t="str">
        <f>"工程数量："&amp;'[1]附表C-6营造林工程投资概算'!$D$8</f>
        <v>工程数量：13.5</v>
      </c>
    </row>
    <row r="5" customHeight="1" spans="1:5">
      <c r="A5" s="16" t="s">
        <v>84</v>
      </c>
      <c r="B5" s="18" t="s">
        <v>134</v>
      </c>
      <c r="C5" s="18"/>
      <c r="D5" s="18"/>
      <c r="E5" s="24"/>
    </row>
    <row r="6" customHeight="1" spans="1:5">
      <c r="A6" s="4" t="s">
        <v>28</v>
      </c>
      <c r="B6" s="4" t="s">
        <v>56</v>
      </c>
      <c r="C6" s="4" t="s">
        <v>267</v>
      </c>
      <c r="D6" s="4" t="s">
        <v>268</v>
      </c>
      <c r="E6" s="4" t="s">
        <v>35</v>
      </c>
    </row>
    <row r="7" customHeight="1" spans="1:5">
      <c r="A7" s="4" t="s">
        <v>68</v>
      </c>
      <c r="B7" s="6" t="s">
        <v>256</v>
      </c>
      <c r="C7" s="4" t="s">
        <v>269</v>
      </c>
      <c r="D7" s="9"/>
      <c r="E7" s="6" t="s">
        <v>8</v>
      </c>
    </row>
    <row r="8" customHeight="1" spans="1:5">
      <c r="A8" s="4" t="s">
        <v>0</v>
      </c>
      <c r="B8" s="6" t="s">
        <v>0</v>
      </c>
      <c r="C8" s="4" t="s">
        <v>0</v>
      </c>
      <c r="D8" s="9" t="s">
        <v>0</v>
      </c>
      <c r="E8" s="6" t="s">
        <v>0</v>
      </c>
    </row>
    <row r="9" customHeight="1" spans="1:5">
      <c r="A9" s="4" t="s">
        <v>0</v>
      </c>
      <c r="B9" s="6" t="s">
        <v>0</v>
      </c>
      <c r="C9" s="4" t="s">
        <v>0</v>
      </c>
      <c r="D9" s="9" t="s">
        <v>0</v>
      </c>
      <c r="E9" s="6" t="s">
        <v>0</v>
      </c>
    </row>
    <row r="10" customHeight="1" spans="1:5">
      <c r="A10" s="4" t="s">
        <v>0</v>
      </c>
      <c r="B10" s="6" t="s">
        <v>0</v>
      </c>
      <c r="C10" s="4" t="s">
        <v>0</v>
      </c>
      <c r="D10" s="9" t="s">
        <v>0</v>
      </c>
      <c r="E10" s="6" t="s">
        <v>0</v>
      </c>
    </row>
    <row r="11" customHeight="1" spans="1:5">
      <c r="A11" s="4" t="s">
        <v>0</v>
      </c>
      <c r="B11" s="6" t="s">
        <v>0</v>
      </c>
      <c r="C11" s="4" t="s">
        <v>0</v>
      </c>
      <c r="D11" s="9" t="s">
        <v>0</v>
      </c>
      <c r="E11" s="6" t="s">
        <v>0</v>
      </c>
    </row>
    <row r="12" customHeight="1" spans="1:5">
      <c r="A12" s="4" t="s">
        <v>0</v>
      </c>
      <c r="B12" s="6" t="s">
        <v>0</v>
      </c>
      <c r="C12" s="4" t="s">
        <v>0</v>
      </c>
      <c r="D12" s="9" t="s">
        <v>0</v>
      </c>
      <c r="E12" s="6" t="s">
        <v>0</v>
      </c>
    </row>
    <row r="13" customHeight="1" spans="1:5">
      <c r="A13" s="4" t="s">
        <v>0</v>
      </c>
      <c r="B13" s="6" t="s">
        <v>0</v>
      </c>
      <c r="C13" s="4" t="s">
        <v>0</v>
      </c>
      <c r="D13" s="9" t="s">
        <v>0</v>
      </c>
      <c r="E13" s="6" t="s">
        <v>0</v>
      </c>
    </row>
    <row r="14" customHeight="1" spans="1:5">
      <c r="A14" s="4" t="s">
        <v>0</v>
      </c>
      <c r="B14" s="6" t="s">
        <v>0</v>
      </c>
      <c r="C14" s="4" t="s">
        <v>0</v>
      </c>
      <c r="D14" s="9" t="s">
        <v>0</v>
      </c>
      <c r="E14" s="6" t="s">
        <v>0</v>
      </c>
    </row>
    <row r="15" customHeight="1" spans="1:5">
      <c r="A15" s="4" t="s">
        <v>0</v>
      </c>
      <c r="B15" s="6" t="s">
        <v>0</v>
      </c>
      <c r="C15" s="4" t="s">
        <v>0</v>
      </c>
      <c r="D15" s="9" t="s">
        <v>0</v>
      </c>
      <c r="E15" s="6" t="s">
        <v>0</v>
      </c>
    </row>
    <row r="16" customHeight="1" spans="1:5">
      <c r="A16" s="4" t="s">
        <v>0</v>
      </c>
      <c r="B16" s="6" t="s">
        <v>0</v>
      </c>
      <c r="C16" s="4" t="s">
        <v>0</v>
      </c>
      <c r="D16" s="9" t="s">
        <v>0</v>
      </c>
      <c r="E16" s="6" t="s">
        <v>0</v>
      </c>
    </row>
    <row r="17" customHeight="1" spans="1:5">
      <c r="A17" s="4" t="s">
        <v>0</v>
      </c>
      <c r="B17" s="6" t="s">
        <v>0</v>
      </c>
      <c r="C17" s="4" t="s">
        <v>0</v>
      </c>
      <c r="D17" s="9" t="s">
        <v>0</v>
      </c>
      <c r="E17" s="6" t="s">
        <v>0</v>
      </c>
    </row>
    <row r="18" customHeight="1" spans="1:5">
      <c r="A18" s="4" t="s">
        <v>0</v>
      </c>
      <c r="B18" s="6" t="s">
        <v>0</v>
      </c>
      <c r="C18" s="4" t="s">
        <v>0</v>
      </c>
      <c r="D18" s="9" t="s">
        <v>0</v>
      </c>
      <c r="E18" s="6" t="s">
        <v>0</v>
      </c>
    </row>
    <row r="19" customHeight="1" spans="1:5">
      <c r="A19" s="4" t="s">
        <v>0</v>
      </c>
      <c r="B19" s="6" t="s">
        <v>0</v>
      </c>
      <c r="C19" s="4" t="s">
        <v>0</v>
      </c>
      <c r="D19" s="9" t="s">
        <v>0</v>
      </c>
      <c r="E19" s="6" t="s">
        <v>0</v>
      </c>
    </row>
    <row r="20" customHeight="1" spans="1:5">
      <c r="A20" s="4" t="s">
        <v>0</v>
      </c>
      <c r="B20" s="6" t="s">
        <v>0</v>
      </c>
      <c r="C20" s="4" t="s">
        <v>0</v>
      </c>
      <c r="D20" s="9" t="s">
        <v>0</v>
      </c>
      <c r="E20" s="6" t="s">
        <v>0</v>
      </c>
    </row>
    <row r="21" customHeight="1" spans="1:5">
      <c r="A21" s="4" t="s">
        <v>0</v>
      </c>
      <c r="B21" s="6" t="s">
        <v>0</v>
      </c>
      <c r="C21" s="4" t="s">
        <v>0</v>
      </c>
      <c r="D21" s="9" t="s">
        <v>0</v>
      </c>
      <c r="E21" s="6" t="s">
        <v>0</v>
      </c>
    </row>
    <row r="22" customHeight="1" spans="1:5">
      <c r="A22" s="4" t="s">
        <v>0</v>
      </c>
      <c r="B22" s="6" t="s">
        <v>0</v>
      </c>
      <c r="C22" s="4" t="s">
        <v>0</v>
      </c>
      <c r="D22" s="9" t="s">
        <v>0</v>
      </c>
      <c r="E22" s="6" t="s">
        <v>0</v>
      </c>
    </row>
    <row r="23" customHeight="1" spans="1:5">
      <c r="A23" s="4" t="s">
        <v>0</v>
      </c>
      <c r="B23" s="6" t="s">
        <v>0</v>
      </c>
      <c r="C23" s="4" t="s">
        <v>0</v>
      </c>
      <c r="D23" s="9" t="s">
        <v>0</v>
      </c>
      <c r="E23" s="6" t="s">
        <v>0</v>
      </c>
    </row>
    <row r="24" customHeight="1" spans="1:5">
      <c r="A24" s="4" t="s">
        <v>0</v>
      </c>
      <c r="B24" s="6" t="s">
        <v>0</v>
      </c>
      <c r="C24" s="4" t="s">
        <v>0</v>
      </c>
      <c r="D24" s="9" t="s">
        <v>0</v>
      </c>
      <c r="E24" s="6" t="s">
        <v>0</v>
      </c>
    </row>
    <row r="25" customHeight="1" spans="1:5">
      <c r="A25" s="4" t="s">
        <v>0</v>
      </c>
      <c r="B25" s="6" t="s">
        <v>0</v>
      </c>
      <c r="C25" s="4" t="s">
        <v>0</v>
      </c>
      <c r="D25" s="9" t="s">
        <v>0</v>
      </c>
      <c r="E25" s="6" t="s">
        <v>0</v>
      </c>
    </row>
    <row r="26" customHeight="1" spans="1:5">
      <c r="A26" s="4" t="s">
        <v>76</v>
      </c>
      <c r="B26" s="4" t="s">
        <v>0</v>
      </c>
      <c r="C26" s="4" t="s">
        <v>0</v>
      </c>
      <c r="D26" s="4">
        <f>SUM(D7:D25)</f>
        <v>0</v>
      </c>
      <c r="E26" s="4" t="s">
        <v>260</v>
      </c>
    </row>
    <row r="27" ht="21" customHeight="1" spans="1:5">
      <c r="A27" s="25"/>
      <c r="B27" s="25"/>
      <c r="C27" s="25"/>
      <c r="D27" s="25"/>
      <c r="E27" s="25"/>
    </row>
    <row r="28" customHeight="1" spans="1:5">
      <c r="A28" s="26" t="s">
        <v>270</v>
      </c>
      <c r="B28" s="26" t="s">
        <v>0</v>
      </c>
      <c r="C28" s="26" t="s">
        <v>0</v>
      </c>
      <c r="D28" s="26" t="s">
        <v>0</v>
      </c>
      <c r="E28" s="26" t="s">
        <v>0</v>
      </c>
    </row>
    <row r="29" ht="17.4" customHeight="1"/>
    <row r="30" customHeight="1" spans="1:5">
      <c r="A30" s="22" t="s">
        <v>265</v>
      </c>
      <c r="B30" s="22" t="s">
        <v>0</v>
      </c>
      <c r="C30" s="22" t="s">
        <v>0</v>
      </c>
      <c r="D30" s="22" t="s">
        <v>0</v>
      </c>
      <c r="E30" s="22" t="s">
        <v>0</v>
      </c>
    </row>
    <row r="31" customHeight="1" spans="1:5">
      <c r="A31" s="23"/>
      <c r="B31" s="23"/>
      <c r="C31" s="23"/>
      <c r="D31" s="23"/>
      <c r="E31" s="15" t="s">
        <v>271</v>
      </c>
    </row>
    <row r="32" customHeight="1" spans="1:5">
      <c r="A32" s="16" t="s">
        <v>22</v>
      </c>
      <c r="B32" s="17" t="s">
        <v>80</v>
      </c>
      <c r="C32" s="17"/>
      <c r="D32" s="17"/>
      <c r="E32" s="16" t="s">
        <v>81</v>
      </c>
    </row>
    <row r="33" customHeight="1" spans="1:5">
      <c r="A33" s="16" t="s">
        <v>82</v>
      </c>
      <c r="B33" s="17" t="s">
        <v>183</v>
      </c>
      <c r="C33" s="17"/>
      <c r="D33" s="17"/>
      <c r="E33" s="34" t="str">
        <f>"工程数量："&amp;'[1]附表C-6营造林工程投资概算'!$D$9</f>
        <v>工程数量：62.71</v>
      </c>
    </row>
    <row r="34" customHeight="1" spans="1:5">
      <c r="A34" s="16" t="s">
        <v>84</v>
      </c>
      <c r="B34" s="18" t="s">
        <v>272</v>
      </c>
      <c r="C34" s="18"/>
      <c r="D34" s="18"/>
      <c r="E34" s="24"/>
    </row>
    <row r="35" customHeight="1" spans="1:5">
      <c r="A35" s="4" t="s">
        <v>28</v>
      </c>
      <c r="B35" s="4" t="s">
        <v>56</v>
      </c>
      <c r="C35" s="4" t="s">
        <v>267</v>
      </c>
      <c r="D35" s="4" t="s">
        <v>268</v>
      </c>
      <c r="E35" s="4" t="s">
        <v>35</v>
      </c>
    </row>
    <row r="36" customHeight="1" spans="1:5">
      <c r="A36" s="4" t="s">
        <v>68</v>
      </c>
      <c r="B36" s="6" t="s">
        <v>256</v>
      </c>
      <c r="C36" s="4" t="s">
        <v>269</v>
      </c>
      <c r="D36" s="9"/>
      <c r="E36" s="6" t="s">
        <v>8</v>
      </c>
    </row>
    <row r="37" customHeight="1" spans="1:5">
      <c r="A37" s="4" t="s">
        <v>0</v>
      </c>
      <c r="B37" s="6" t="s">
        <v>0</v>
      </c>
      <c r="C37" s="4" t="s">
        <v>0</v>
      </c>
      <c r="D37" s="9" t="s">
        <v>0</v>
      </c>
      <c r="E37" s="6" t="s">
        <v>0</v>
      </c>
    </row>
    <row r="38" customHeight="1" spans="1:5">
      <c r="A38" s="4" t="s">
        <v>0</v>
      </c>
      <c r="B38" s="6" t="s">
        <v>0</v>
      </c>
      <c r="C38" s="4" t="s">
        <v>0</v>
      </c>
      <c r="D38" s="9" t="s">
        <v>0</v>
      </c>
      <c r="E38" s="6" t="s">
        <v>0</v>
      </c>
    </row>
    <row r="39" customHeight="1" spans="1:5">
      <c r="A39" s="4" t="s">
        <v>0</v>
      </c>
      <c r="B39" s="6" t="s">
        <v>0</v>
      </c>
      <c r="C39" s="4" t="s">
        <v>0</v>
      </c>
      <c r="D39" s="9" t="s">
        <v>0</v>
      </c>
      <c r="E39" s="6" t="s">
        <v>0</v>
      </c>
    </row>
    <row r="40" customHeight="1" spans="1:5">
      <c r="A40" s="4" t="s">
        <v>0</v>
      </c>
      <c r="B40" s="6" t="s">
        <v>0</v>
      </c>
      <c r="C40" s="4" t="s">
        <v>0</v>
      </c>
      <c r="D40" s="9" t="s">
        <v>0</v>
      </c>
      <c r="E40" s="6" t="s">
        <v>0</v>
      </c>
    </row>
    <row r="41" customHeight="1" spans="1:5">
      <c r="A41" s="4" t="s">
        <v>0</v>
      </c>
      <c r="B41" s="6" t="s">
        <v>0</v>
      </c>
      <c r="C41" s="4" t="s">
        <v>0</v>
      </c>
      <c r="D41" s="9" t="s">
        <v>0</v>
      </c>
      <c r="E41" s="6" t="s">
        <v>0</v>
      </c>
    </row>
    <row r="42" customHeight="1" spans="1:5">
      <c r="A42" s="4" t="s">
        <v>0</v>
      </c>
      <c r="B42" s="6" t="s">
        <v>0</v>
      </c>
      <c r="C42" s="4" t="s">
        <v>0</v>
      </c>
      <c r="D42" s="9" t="s">
        <v>0</v>
      </c>
      <c r="E42" s="6" t="s">
        <v>0</v>
      </c>
    </row>
    <row r="43" customHeight="1" spans="1:5">
      <c r="A43" s="4" t="s">
        <v>0</v>
      </c>
      <c r="B43" s="6" t="s">
        <v>0</v>
      </c>
      <c r="C43" s="4" t="s">
        <v>0</v>
      </c>
      <c r="D43" s="9" t="s">
        <v>0</v>
      </c>
      <c r="E43" s="6" t="s">
        <v>0</v>
      </c>
    </row>
    <row r="44" customHeight="1" spans="1:5">
      <c r="A44" s="4" t="s">
        <v>0</v>
      </c>
      <c r="B44" s="6" t="s">
        <v>0</v>
      </c>
      <c r="C44" s="4" t="s">
        <v>0</v>
      </c>
      <c r="D44" s="9" t="s">
        <v>0</v>
      </c>
      <c r="E44" s="6" t="s">
        <v>0</v>
      </c>
    </row>
    <row r="45" customHeight="1" spans="1:5">
      <c r="A45" s="4" t="s">
        <v>0</v>
      </c>
      <c r="B45" s="6" t="s">
        <v>0</v>
      </c>
      <c r="C45" s="4" t="s">
        <v>0</v>
      </c>
      <c r="D45" s="9" t="s">
        <v>0</v>
      </c>
      <c r="E45" s="6" t="s">
        <v>0</v>
      </c>
    </row>
    <row r="46" customHeight="1" spans="1:5">
      <c r="A46" s="4" t="s">
        <v>0</v>
      </c>
      <c r="B46" s="6" t="s">
        <v>0</v>
      </c>
      <c r="C46" s="4" t="s">
        <v>0</v>
      </c>
      <c r="D46" s="9" t="s">
        <v>0</v>
      </c>
      <c r="E46" s="6" t="s">
        <v>0</v>
      </c>
    </row>
    <row r="47" customHeight="1" spans="1:5">
      <c r="A47" s="4" t="s">
        <v>0</v>
      </c>
      <c r="B47" s="6" t="s">
        <v>0</v>
      </c>
      <c r="C47" s="4" t="s">
        <v>0</v>
      </c>
      <c r="D47" s="9" t="s">
        <v>0</v>
      </c>
      <c r="E47" s="6" t="s">
        <v>0</v>
      </c>
    </row>
    <row r="48" customHeight="1" spans="1:5">
      <c r="A48" s="4" t="s">
        <v>0</v>
      </c>
      <c r="B48" s="6" t="s">
        <v>0</v>
      </c>
      <c r="C48" s="4" t="s">
        <v>0</v>
      </c>
      <c r="D48" s="9" t="s">
        <v>0</v>
      </c>
      <c r="E48" s="6" t="s">
        <v>0</v>
      </c>
    </row>
    <row r="49" customHeight="1" spans="1:5">
      <c r="A49" s="4" t="s">
        <v>0</v>
      </c>
      <c r="B49" s="6" t="s">
        <v>0</v>
      </c>
      <c r="C49" s="4" t="s">
        <v>0</v>
      </c>
      <c r="D49" s="9" t="s">
        <v>0</v>
      </c>
      <c r="E49" s="6" t="s">
        <v>0</v>
      </c>
    </row>
    <row r="50" customHeight="1" spans="1:5">
      <c r="A50" s="4" t="s">
        <v>0</v>
      </c>
      <c r="B50" s="6" t="s">
        <v>0</v>
      </c>
      <c r="C50" s="4" t="s">
        <v>0</v>
      </c>
      <c r="D50" s="9" t="s">
        <v>0</v>
      </c>
      <c r="E50" s="6" t="s">
        <v>0</v>
      </c>
    </row>
    <row r="51" customHeight="1" spans="1:5">
      <c r="A51" s="4" t="s">
        <v>0</v>
      </c>
      <c r="B51" s="6" t="s">
        <v>0</v>
      </c>
      <c r="C51" s="4" t="s">
        <v>0</v>
      </c>
      <c r="D51" s="9" t="s">
        <v>0</v>
      </c>
      <c r="E51" s="6" t="s">
        <v>0</v>
      </c>
    </row>
    <row r="52" customHeight="1" spans="1:5">
      <c r="A52" s="4" t="s">
        <v>0</v>
      </c>
      <c r="B52" s="6" t="s">
        <v>0</v>
      </c>
      <c r="C52" s="4" t="s">
        <v>0</v>
      </c>
      <c r="D52" s="9" t="s">
        <v>0</v>
      </c>
      <c r="E52" s="6" t="s">
        <v>0</v>
      </c>
    </row>
    <row r="53" customHeight="1" spans="1:5">
      <c r="A53" s="4" t="s">
        <v>0</v>
      </c>
      <c r="B53" s="6" t="s">
        <v>0</v>
      </c>
      <c r="C53" s="4" t="s">
        <v>0</v>
      </c>
      <c r="D53" s="9" t="s">
        <v>0</v>
      </c>
      <c r="E53" s="6" t="s">
        <v>0</v>
      </c>
    </row>
    <row r="54" customHeight="1" spans="1:5">
      <c r="A54" s="4" t="s">
        <v>0</v>
      </c>
      <c r="B54" s="6" t="s">
        <v>0</v>
      </c>
      <c r="C54" s="4" t="s">
        <v>0</v>
      </c>
      <c r="D54" s="9" t="s">
        <v>0</v>
      </c>
      <c r="E54" s="6" t="s">
        <v>0</v>
      </c>
    </row>
    <row r="55" customHeight="1" spans="1:5">
      <c r="A55" s="4" t="s">
        <v>76</v>
      </c>
      <c r="B55" s="4" t="s">
        <v>0</v>
      </c>
      <c r="C55" s="4" t="s">
        <v>0</v>
      </c>
      <c r="D55" s="4">
        <f>SUM(D36:D54)</f>
        <v>0</v>
      </c>
      <c r="E55" s="4" t="s">
        <v>260</v>
      </c>
    </row>
    <row r="56" ht="7.8" customHeight="1" spans="1:5">
      <c r="A56" s="25"/>
      <c r="B56" s="25"/>
      <c r="C56" s="25"/>
      <c r="D56" s="25"/>
      <c r="E56" s="25"/>
    </row>
    <row r="57" ht="23.4" customHeight="1" spans="1:5">
      <c r="A57" s="26" t="s">
        <v>270</v>
      </c>
      <c r="B57" s="26" t="s">
        <v>0</v>
      </c>
      <c r="C57" s="26" t="s">
        <v>0</v>
      </c>
      <c r="D57" s="26" t="s">
        <v>0</v>
      </c>
      <c r="E57" s="26" t="s">
        <v>0</v>
      </c>
    </row>
    <row r="58" ht="19.8" customHeight="1"/>
    <row r="59" customHeight="1" spans="1:5">
      <c r="A59" s="22" t="s">
        <v>265</v>
      </c>
      <c r="B59" s="22" t="s">
        <v>0</v>
      </c>
      <c r="C59" s="22" t="s">
        <v>0</v>
      </c>
      <c r="D59" s="22" t="s">
        <v>0</v>
      </c>
      <c r="E59" s="22" t="s">
        <v>0</v>
      </c>
    </row>
    <row r="60" customHeight="1" spans="1:5">
      <c r="A60" s="23"/>
      <c r="B60" s="23"/>
      <c r="C60" s="23"/>
      <c r="D60" s="23"/>
      <c r="E60" s="15" t="s">
        <v>271</v>
      </c>
    </row>
    <row r="61" customHeight="1" spans="1:5">
      <c r="A61" s="16" t="s">
        <v>22</v>
      </c>
      <c r="B61" s="17" t="s">
        <v>80</v>
      </c>
      <c r="C61" s="17"/>
      <c r="D61" s="17"/>
      <c r="E61" s="16" t="s">
        <v>81</v>
      </c>
    </row>
    <row r="62" customHeight="1" spans="1:5">
      <c r="A62" s="16" t="s">
        <v>82</v>
      </c>
      <c r="B62" s="17" t="s">
        <v>121</v>
      </c>
      <c r="C62" s="17"/>
      <c r="D62" s="17"/>
      <c r="E62" s="34" t="str">
        <f>"工程数量："&amp;'[1]附表C-6营造林工程投资概算'!$D$10</f>
        <v>工程数量：0.45</v>
      </c>
    </row>
    <row r="63" customHeight="1" spans="1:5">
      <c r="A63" s="16" t="s">
        <v>84</v>
      </c>
      <c r="B63" s="18" t="s">
        <v>273</v>
      </c>
      <c r="C63" s="18"/>
      <c r="D63" s="18"/>
      <c r="E63" s="24"/>
    </row>
    <row r="64" customHeight="1" spans="1:5">
      <c r="A64" s="4" t="s">
        <v>28</v>
      </c>
      <c r="B64" s="4" t="s">
        <v>56</v>
      </c>
      <c r="C64" s="4" t="s">
        <v>267</v>
      </c>
      <c r="D64" s="4" t="s">
        <v>268</v>
      </c>
      <c r="E64" s="4" t="s">
        <v>35</v>
      </c>
    </row>
    <row r="65" customHeight="1" spans="1:5">
      <c r="A65" s="4" t="s">
        <v>68</v>
      </c>
      <c r="B65" s="6" t="s">
        <v>256</v>
      </c>
      <c r="C65" s="4" t="s">
        <v>269</v>
      </c>
      <c r="D65" s="9"/>
      <c r="E65" s="6" t="s">
        <v>8</v>
      </c>
    </row>
    <row r="66" customHeight="1" spans="1:5">
      <c r="A66" s="4" t="s">
        <v>0</v>
      </c>
      <c r="B66" s="6" t="s">
        <v>0</v>
      </c>
      <c r="C66" s="4" t="s">
        <v>0</v>
      </c>
      <c r="D66" s="9" t="s">
        <v>0</v>
      </c>
      <c r="E66" s="6" t="s">
        <v>0</v>
      </c>
    </row>
    <row r="67" customHeight="1" spans="1:5">
      <c r="A67" s="4" t="s">
        <v>0</v>
      </c>
      <c r="B67" s="6" t="s">
        <v>0</v>
      </c>
      <c r="C67" s="4" t="s">
        <v>0</v>
      </c>
      <c r="D67" s="9" t="s">
        <v>0</v>
      </c>
      <c r="E67" s="6" t="s">
        <v>0</v>
      </c>
    </row>
    <row r="68" customHeight="1" spans="1:5">
      <c r="A68" s="4" t="s">
        <v>0</v>
      </c>
      <c r="B68" s="6" t="s">
        <v>0</v>
      </c>
      <c r="C68" s="4" t="s">
        <v>0</v>
      </c>
      <c r="D68" s="9" t="s">
        <v>0</v>
      </c>
      <c r="E68" s="6" t="s">
        <v>0</v>
      </c>
    </row>
    <row r="69" customHeight="1" spans="1:5">
      <c r="A69" s="4" t="s">
        <v>0</v>
      </c>
      <c r="B69" s="6" t="s">
        <v>0</v>
      </c>
      <c r="C69" s="4" t="s">
        <v>0</v>
      </c>
      <c r="D69" s="9" t="s">
        <v>0</v>
      </c>
      <c r="E69" s="6" t="s">
        <v>0</v>
      </c>
    </row>
    <row r="70" customHeight="1" spans="1:5">
      <c r="A70" s="4" t="s">
        <v>0</v>
      </c>
      <c r="B70" s="6" t="s">
        <v>0</v>
      </c>
      <c r="C70" s="4" t="s">
        <v>0</v>
      </c>
      <c r="D70" s="9" t="s">
        <v>0</v>
      </c>
      <c r="E70" s="6" t="s">
        <v>0</v>
      </c>
    </row>
    <row r="71" customHeight="1" spans="1:5">
      <c r="A71" s="4" t="s">
        <v>0</v>
      </c>
      <c r="B71" s="6" t="s">
        <v>0</v>
      </c>
      <c r="C71" s="4" t="s">
        <v>0</v>
      </c>
      <c r="D71" s="9" t="s">
        <v>0</v>
      </c>
      <c r="E71" s="6" t="s">
        <v>0</v>
      </c>
    </row>
    <row r="72" customHeight="1" spans="1:5">
      <c r="A72" s="4" t="s">
        <v>0</v>
      </c>
      <c r="B72" s="6" t="s">
        <v>0</v>
      </c>
      <c r="C72" s="4" t="s">
        <v>0</v>
      </c>
      <c r="D72" s="9" t="s">
        <v>0</v>
      </c>
      <c r="E72" s="6" t="s">
        <v>0</v>
      </c>
    </row>
    <row r="73" customHeight="1" spans="1:5">
      <c r="A73" s="4" t="s">
        <v>0</v>
      </c>
      <c r="B73" s="6" t="s">
        <v>0</v>
      </c>
      <c r="C73" s="4" t="s">
        <v>0</v>
      </c>
      <c r="D73" s="9" t="s">
        <v>0</v>
      </c>
      <c r="E73" s="6" t="s">
        <v>0</v>
      </c>
    </row>
    <row r="74" customHeight="1" spans="1:5">
      <c r="A74" s="4" t="s">
        <v>0</v>
      </c>
      <c r="B74" s="6" t="s">
        <v>0</v>
      </c>
      <c r="C74" s="4" t="s">
        <v>0</v>
      </c>
      <c r="D74" s="9" t="s">
        <v>0</v>
      </c>
      <c r="E74" s="6" t="s">
        <v>0</v>
      </c>
    </row>
    <row r="75" customHeight="1" spans="1:5">
      <c r="A75" s="4" t="s">
        <v>0</v>
      </c>
      <c r="B75" s="6" t="s">
        <v>0</v>
      </c>
      <c r="C75" s="4" t="s">
        <v>0</v>
      </c>
      <c r="D75" s="9" t="s">
        <v>0</v>
      </c>
      <c r="E75" s="6" t="s">
        <v>0</v>
      </c>
    </row>
    <row r="76" customHeight="1" spans="1:5">
      <c r="A76" s="4" t="s">
        <v>0</v>
      </c>
      <c r="B76" s="6" t="s">
        <v>0</v>
      </c>
      <c r="C76" s="4" t="s">
        <v>0</v>
      </c>
      <c r="D76" s="9" t="s">
        <v>0</v>
      </c>
      <c r="E76" s="6" t="s">
        <v>0</v>
      </c>
    </row>
    <row r="77" customHeight="1" spans="1:5">
      <c r="A77" s="4" t="s">
        <v>0</v>
      </c>
      <c r="B77" s="6" t="s">
        <v>0</v>
      </c>
      <c r="C77" s="4" t="s">
        <v>0</v>
      </c>
      <c r="D77" s="9" t="s">
        <v>0</v>
      </c>
      <c r="E77" s="6" t="s">
        <v>0</v>
      </c>
    </row>
    <row r="78" customHeight="1" spans="1:5">
      <c r="A78" s="4" t="s">
        <v>0</v>
      </c>
      <c r="B78" s="6" t="s">
        <v>0</v>
      </c>
      <c r="C78" s="4" t="s">
        <v>0</v>
      </c>
      <c r="D78" s="9" t="s">
        <v>0</v>
      </c>
      <c r="E78" s="6" t="s">
        <v>0</v>
      </c>
    </row>
    <row r="79" customHeight="1" spans="1:5">
      <c r="A79" s="4" t="s">
        <v>0</v>
      </c>
      <c r="B79" s="6" t="s">
        <v>0</v>
      </c>
      <c r="C79" s="4" t="s">
        <v>0</v>
      </c>
      <c r="D79" s="9" t="s">
        <v>0</v>
      </c>
      <c r="E79" s="6" t="s">
        <v>0</v>
      </c>
    </row>
    <row r="80" customHeight="1" spans="1:5">
      <c r="A80" s="4" t="s">
        <v>0</v>
      </c>
      <c r="B80" s="6" t="s">
        <v>0</v>
      </c>
      <c r="C80" s="4" t="s">
        <v>0</v>
      </c>
      <c r="D80" s="9" t="s">
        <v>0</v>
      </c>
      <c r="E80" s="6" t="s">
        <v>0</v>
      </c>
    </row>
    <row r="81" customHeight="1" spans="1:5">
      <c r="A81" s="4" t="s">
        <v>0</v>
      </c>
      <c r="B81" s="6" t="s">
        <v>0</v>
      </c>
      <c r="C81" s="4" t="s">
        <v>0</v>
      </c>
      <c r="D81" s="9" t="s">
        <v>0</v>
      </c>
      <c r="E81" s="6" t="s">
        <v>0</v>
      </c>
    </row>
    <row r="82" customHeight="1" spans="1:5">
      <c r="A82" s="4" t="s">
        <v>0</v>
      </c>
      <c r="B82" s="6" t="s">
        <v>0</v>
      </c>
      <c r="C82" s="4" t="s">
        <v>0</v>
      </c>
      <c r="D82" s="9" t="s">
        <v>0</v>
      </c>
      <c r="E82" s="6" t="s">
        <v>0</v>
      </c>
    </row>
    <row r="83" customHeight="1" spans="1:5">
      <c r="A83" s="4" t="s">
        <v>0</v>
      </c>
      <c r="B83" s="6" t="s">
        <v>0</v>
      </c>
      <c r="C83" s="4" t="s">
        <v>0</v>
      </c>
      <c r="D83" s="9" t="s">
        <v>0</v>
      </c>
      <c r="E83" s="6" t="s">
        <v>0</v>
      </c>
    </row>
    <row r="84" ht="20.4" customHeight="1" spans="1:5">
      <c r="A84" s="4" t="s">
        <v>76</v>
      </c>
      <c r="B84" s="4" t="s">
        <v>0</v>
      </c>
      <c r="C84" s="4" t="s">
        <v>0</v>
      </c>
      <c r="D84" s="4">
        <f>SUM(D65:D83)</f>
        <v>0</v>
      </c>
      <c r="E84" s="4" t="s">
        <v>260</v>
      </c>
    </row>
    <row r="85" ht="9" customHeight="1" spans="1:5">
      <c r="A85" s="25"/>
      <c r="B85" s="25"/>
      <c r="C85" s="25"/>
      <c r="D85" s="25"/>
      <c r="E85" s="25"/>
    </row>
    <row r="86" ht="24" customHeight="1" spans="1:5">
      <c r="A86" s="26" t="s">
        <v>270</v>
      </c>
      <c r="B86" s="26" t="s">
        <v>0</v>
      </c>
      <c r="C86" s="26" t="s">
        <v>0</v>
      </c>
      <c r="D86" s="26" t="s">
        <v>0</v>
      </c>
      <c r="E86" s="26" t="s">
        <v>0</v>
      </c>
    </row>
  </sheetData>
  <mergeCells count="21">
    <mergeCell ref="A1:E1"/>
    <mergeCell ref="C2:D2"/>
    <mergeCell ref="B3:D3"/>
    <mergeCell ref="B4:D4"/>
    <mergeCell ref="B5:D5"/>
    <mergeCell ref="A26:C26"/>
    <mergeCell ref="A28:E28"/>
    <mergeCell ref="A30:E30"/>
    <mergeCell ref="C31:D31"/>
    <mergeCell ref="B32:D32"/>
    <mergeCell ref="B33:D33"/>
    <mergeCell ref="B34:D34"/>
    <mergeCell ref="A55:C55"/>
    <mergeCell ref="A57:E57"/>
    <mergeCell ref="A59:E59"/>
    <mergeCell ref="C60:D60"/>
    <mergeCell ref="B61:D61"/>
    <mergeCell ref="B62:D62"/>
    <mergeCell ref="B63:D63"/>
    <mergeCell ref="A84:C84"/>
    <mergeCell ref="A86:E8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A1清单报价表封面</vt:lpstr>
      <vt:lpstr>B1 清单报价总说明</vt:lpstr>
      <vt:lpstr>C1 工程项目预算总价表 (2)</vt:lpstr>
      <vt:lpstr>D1-1 分部分项工程量清单计价表【集约人工林栽培‖ZL型】</vt:lpstr>
      <vt:lpstr>D3-3 分部分项工程量清单综合单价计算表(分页不带材料)~1</vt:lpstr>
      <vt:lpstr>D3-4 分部分项工程量清单综合单价计算表(分页带材料)ZL型</vt:lpstr>
      <vt:lpstr>E.1分部分项工程总价措施项目清单计价表-ZL型</vt:lpstr>
      <vt:lpstr>F.1其他项目清单与计价汇总表(ZL型）</vt:lpstr>
      <vt:lpstr>F1.1暂列金额明细表（ZL型）</vt:lpstr>
      <vt:lpstr>G.1规费、税金项目清单计价表-ZL型</vt:lpstr>
      <vt:lpstr>H1 主要材料价格表【集约人工林栽培‖ZL型】</vt:lpstr>
      <vt:lpstr>D1-1 分部分项工程量清单计价表【中幼龄林抚育‖FY】</vt:lpstr>
      <vt:lpstr>D3-3 分部分项工程量清单综合单价计算表(分页不带材料)~2</vt:lpstr>
      <vt:lpstr>D3-4 分部分项工程量清单综合单价计算表(分页带材料)【中~</vt:lpstr>
      <vt:lpstr>E.1分部分项工程总价措施项目清单计价表-FY型</vt:lpstr>
      <vt:lpstr>F.1其他项目清单与计价汇总表(FY型）</vt:lpstr>
      <vt:lpstr>F1.1暂列金额明细表（FY型）</vt:lpstr>
      <vt:lpstr>G.1规费、税金项目清单计价表-FY型</vt:lpstr>
      <vt:lpstr>H1 主要材料价格表【中幼龄林抚育‖FY】</vt:lpstr>
      <vt:lpstr>D1-1 分部分项工程量清单计价表【现有林改培‖GP】</vt:lpstr>
      <vt:lpstr>D3-3 分部分项工程量清单综合单价计算表(分页不带材料)~3</vt:lpstr>
      <vt:lpstr>D3-4 分部分项工程量清单综合单价计算表(分页带材料)【现~</vt:lpstr>
      <vt:lpstr>E.1分部分项工程总价措施项目清单计价表-GP型</vt:lpstr>
      <vt:lpstr>F.1其他项目清单与计价汇总表(GP型）</vt:lpstr>
      <vt:lpstr>F1.1暂列金额明细表（GP型）</vt:lpstr>
      <vt:lpstr>G.1规费、税金项目清单计价表-GP型</vt:lpstr>
      <vt:lpstr>H1 主要材料价格表【现有林改培‖GP】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焦晋川</dc:creator>
  <cp:lastModifiedBy>嘻哈你老大</cp:lastModifiedBy>
  <dcterms:created xsi:type="dcterms:W3CDTF">2024-03-27T06:34:00Z</dcterms:created>
  <cp:lastPrinted>2024-08-27T02:22:00Z</cp:lastPrinted>
  <dcterms:modified xsi:type="dcterms:W3CDTF">2024-12-13T07:08:20Z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3F8FC2C727474C78B9C8307CABC2135F_13</vt:lpwstr>
  </property>
  <property fmtid="{D5CDD505-2E9C-101B-9397-08002B2CF9AE}" pid="3" name="KSOProductBuildVer">
    <vt:lpwstr>2052-12.1.0.19302</vt:lpwstr>
  </property>
</Properties>
</file>